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2.xml" ContentType="application/vnd.openxmlformats-officedocument.drawing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07"/>
  <workbookPr codeName="ThisWorkbook"/>
  <mc:AlternateContent xmlns:mc="http://schemas.openxmlformats.org/markup-compatibility/2006">
    <mc:Choice Requires="x15">
      <x15ac:absPath xmlns:x15ac="http://schemas.microsoft.com/office/spreadsheetml/2010/11/ac" url="/Users/xuesu/Desktop/lunar project/1_orange glass bead modeling/Deep Blue Data Repository/Su et al. 2023 EPSL_AllData/SIMS/"/>
    </mc:Choice>
  </mc:AlternateContent>
  <xr:revisionPtr revIDLastSave="0" documentId="13_ncr:1_{6F653047-7358-5149-95B0-71C011BF1708}" xr6:coauthVersionLast="47" xr6:coauthVersionMax="47" xr10:uidLastSave="{00000000-0000-0000-0000-000000000000}"/>
  <bookViews>
    <workbookView xWindow="8160" yWindow="4040" windowWidth="24740" windowHeight="16220" tabRatio="894" xr2:uid="{00000000-000D-0000-FFFF-FFFF00000000}"/>
  </bookViews>
  <sheets>
    <sheet name="Results" sheetId="2" r:id="rId1"/>
    <sheet name="Misc" sheetId="3" r:id="rId2"/>
    <sheet name="Run_Setup" sheetId="1" r:id="rId3"/>
    <sheet name="Measurement_Setup" sheetId="4" r:id="rId4"/>
    <sheet name="Interference Matrix" sheetId="5" r:id="rId5"/>
    <sheet name="Ratios" sheetId="6" r:id="rId6"/>
    <sheet name="Times" sheetId="8" r:id="rId7"/>
    <sheet name="Field" sheetId="7" r:id="rId8"/>
    <sheet name="Corrected Counts" sheetId="9" r:id="rId9"/>
    <sheet name="Raw Counts" sheetId="10" r:id="rId10"/>
  </sheets>
  <definedNames>
    <definedName name="Field">Run_Setup!$5:$5</definedName>
    <definedName name="Field_Dispersion">Run_Setup!$6:$6</definedName>
    <definedName name="Mass">Run_Setup!$D$2:$IV$2</definedName>
    <definedName name="Mass_Dispersion">Run_Setup!$3:$3</definedName>
    <definedName name="_xlnm.Print_Area" localSheetId="1">Misc!$O$1:$AN$33</definedName>
    <definedName name="_xlnm.Print_Area" localSheetId="2">Run_Setup!$A$1:$E$21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P45" i="9" l="1"/>
  <c r="BR40" i="9"/>
  <c r="BP39" i="9"/>
  <c r="BR35" i="9"/>
  <c r="BR34" i="9"/>
  <c r="BO31" i="9"/>
  <c r="BP29" i="9"/>
  <c r="BR24" i="9"/>
  <c r="BP23" i="9"/>
  <c r="BR19" i="9"/>
  <c r="BQ18" i="9"/>
  <c r="BP18" i="9"/>
  <c r="BQ12" i="9"/>
  <c r="BR8" i="9"/>
  <c r="BQ2" i="9"/>
  <c r="BR49" i="10"/>
  <c r="BR49" i="9" s="1"/>
  <c r="BQ49" i="10"/>
  <c r="BQ49" i="9" s="1"/>
  <c r="BP49" i="10"/>
  <c r="BP49" i="9" s="1"/>
  <c r="BO49" i="10"/>
  <c r="BO49" i="9" s="1"/>
  <c r="BN49" i="10"/>
  <c r="BN49" i="9" s="1"/>
  <c r="BR48" i="10"/>
  <c r="BR48" i="9" s="1"/>
  <c r="BQ48" i="10"/>
  <c r="BQ48" i="9" s="1"/>
  <c r="BP48" i="10"/>
  <c r="BP48" i="9" s="1"/>
  <c r="BO48" i="10"/>
  <c r="BO48" i="9" s="1"/>
  <c r="BN48" i="10"/>
  <c r="BN48" i="9" s="1"/>
  <c r="BR47" i="10"/>
  <c r="BR47" i="9" s="1"/>
  <c r="BQ47" i="10"/>
  <c r="BQ47" i="9" s="1"/>
  <c r="BP47" i="10"/>
  <c r="BP47" i="9" s="1"/>
  <c r="BO47" i="10"/>
  <c r="BO47" i="9" s="1"/>
  <c r="BN47" i="10"/>
  <c r="BN47" i="9" s="1"/>
  <c r="BR46" i="10"/>
  <c r="BR46" i="9" s="1"/>
  <c r="BQ46" i="10"/>
  <c r="BQ46" i="9" s="1"/>
  <c r="BP46" i="10"/>
  <c r="BP46" i="9" s="1"/>
  <c r="BO46" i="10"/>
  <c r="BO46" i="9" s="1"/>
  <c r="BN46" i="10"/>
  <c r="BN46" i="9" s="1"/>
  <c r="BR45" i="10"/>
  <c r="BR45" i="9" s="1"/>
  <c r="BQ45" i="10"/>
  <c r="BQ45" i="9" s="1"/>
  <c r="BP45" i="10"/>
  <c r="BO45" i="10"/>
  <c r="BO45" i="9" s="1"/>
  <c r="BN45" i="10"/>
  <c r="BN45" i="9" s="1"/>
  <c r="BR44" i="10"/>
  <c r="BR44" i="9" s="1"/>
  <c r="BQ44" i="10"/>
  <c r="BQ44" i="9" s="1"/>
  <c r="BP44" i="10"/>
  <c r="BP44" i="9" s="1"/>
  <c r="BO44" i="10"/>
  <c r="BO44" i="9" s="1"/>
  <c r="BN44" i="10"/>
  <c r="BN44" i="9" s="1"/>
  <c r="BR43" i="10"/>
  <c r="BR43" i="9" s="1"/>
  <c r="BQ43" i="10"/>
  <c r="BQ43" i="9" s="1"/>
  <c r="BP43" i="10"/>
  <c r="BP43" i="9" s="1"/>
  <c r="BO43" i="10"/>
  <c r="BO43" i="9" s="1"/>
  <c r="BN43" i="10"/>
  <c r="BN43" i="9" s="1"/>
  <c r="BR42" i="10"/>
  <c r="BR42" i="9" s="1"/>
  <c r="BQ42" i="10"/>
  <c r="BQ42" i="9" s="1"/>
  <c r="BP42" i="10"/>
  <c r="BP42" i="9" s="1"/>
  <c r="BO42" i="10"/>
  <c r="BO42" i="9" s="1"/>
  <c r="BN42" i="10"/>
  <c r="BN42" i="9" s="1"/>
  <c r="BR41" i="10"/>
  <c r="BR41" i="9" s="1"/>
  <c r="BQ41" i="10"/>
  <c r="BQ41" i="9" s="1"/>
  <c r="BP41" i="10"/>
  <c r="BP41" i="9" s="1"/>
  <c r="BO41" i="10"/>
  <c r="BO41" i="9" s="1"/>
  <c r="BN41" i="10"/>
  <c r="BN41" i="9" s="1"/>
  <c r="BR40" i="10"/>
  <c r="BQ40" i="10"/>
  <c r="BQ40" i="9" s="1"/>
  <c r="BP40" i="10"/>
  <c r="BP40" i="9" s="1"/>
  <c r="BO40" i="10"/>
  <c r="BO40" i="9" s="1"/>
  <c r="BN40" i="10"/>
  <c r="BN40" i="9" s="1"/>
  <c r="BR39" i="10"/>
  <c r="BR39" i="9" s="1"/>
  <c r="BQ39" i="10"/>
  <c r="BQ39" i="9" s="1"/>
  <c r="BP39" i="10"/>
  <c r="BO39" i="10"/>
  <c r="BO39" i="9" s="1"/>
  <c r="BN39" i="10"/>
  <c r="BN39" i="9" s="1"/>
  <c r="BR38" i="10"/>
  <c r="BR38" i="9" s="1"/>
  <c r="BQ38" i="10"/>
  <c r="BQ38" i="9" s="1"/>
  <c r="BP38" i="10"/>
  <c r="BP38" i="9" s="1"/>
  <c r="BO38" i="10"/>
  <c r="BO38" i="9" s="1"/>
  <c r="BN38" i="10"/>
  <c r="BN38" i="9" s="1"/>
  <c r="BR37" i="10"/>
  <c r="BR37" i="9" s="1"/>
  <c r="BQ37" i="10"/>
  <c r="BQ37" i="9" s="1"/>
  <c r="BP37" i="10"/>
  <c r="BP37" i="9" s="1"/>
  <c r="BO37" i="10"/>
  <c r="BO37" i="9" s="1"/>
  <c r="BN37" i="10"/>
  <c r="BN37" i="9" s="1"/>
  <c r="BR36" i="10"/>
  <c r="BR36" i="9" s="1"/>
  <c r="BQ36" i="10"/>
  <c r="BQ36" i="9" s="1"/>
  <c r="BP36" i="10"/>
  <c r="BP36" i="9" s="1"/>
  <c r="BO36" i="10"/>
  <c r="BO36" i="9" s="1"/>
  <c r="BN36" i="10"/>
  <c r="BN36" i="9" s="1"/>
  <c r="BR35" i="10"/>
  <c r="BQ35" i="10"/>
  <c r="BQ35" i="9" s="1"/>
  <c r="BP35" i="10"/>
  <c r="BP35" i="9" s="1"/>
  <c r="BO35" i="10"/>
  <c r="BO35" i="9" s="1"/>
  <c r="BN35" i="10"/>
  <c r="BN35" i="9" s="1"/>
  <c r="BR34" i="10"/>
  <c r="BQ34" i="10"/>
  <c r="BQ34" i="9" s="1"/>
  <c r="BP34" i="10"/>
  <c r="BP34" i="9" s="1"/>
  <c r="BO34" i="10"/>
  <c r="BO34" i="9" s="1"/>
  <c r="BN34" i="10"/>
  <c r="BN34" i="9" s="1"/>
  <c r="BR33" i="10"/>
  <c r="BR33" i="9" s="1"/>
  <c r="BQ33" i="10"/>
  <c r="BQ33" i="9" s="1"/>
  <c r="BP33" i="10"/>
  <c r="BP33" i="9" s="1"/>
  <c r="BO33" i="10"/>
  <c r="BO33" i="9" s="1"/>
  <c r="BN33" i="10"/>
  <c r="BN33" i="9" s="1"/>
  <c r="BR32" i="10"/>
  <c r="BR32" i="9" s="1"/>
  <c r="BQ32" i="10"/>
  <c r="BQ32" i="9" s="1"/>
  <c r="BP32" i="10"/>
  <c r="BP32" i="9" s="1"/>
  <c r="BO32" i="10"/>
  <c r="BO32" i="9" s="1"/>
  <c r="BN32" i="10"/>
  <c r="BN32" i="9" s="1"/>
  <c r="BR31" i="10"/>
  <c r="BR31" i="9" s="1"/>
  <c r="BQ31" i="10"/>
  <c r="BQ31" i="9" s="1"/>
  <c r="BP31" i="10"/>
  <c r="BP31" i="9" s="1"/>
  <c r="BO31" i="10"/>
  <c r="BN31" i="10"/>
  <c r="BN31" i="9" s="1"/>
  <c r="BR30" i="10"/>
  <c r="BR30" i="9" s="1"/>
  <c r="BQ30" i="10"/>
  <c r="BQ30" i="9" s="1"/>
  <c r="BP30" i="10"/>
  <c r="BP30" i="9" s="1"/>
  <c r="BO30" i="10"/>
  <c r="BO30" i="9" s="1"/>
  <c r="BN30" i="10"/>
  <c r="BN30" i="9" s="1"/>
  <c r="BR29" i="10"/>
  <c r="BR29" i="9" s="1"/>
  <c r="BQ29" i="10"/>
  <c r="BQ29" i="9" s="1"/>
  <c r="BP29" i="10"/>
  <c r="BO29" i="10"/>
  <c r="BO29" i="9" s="1"/>
  <c r="BN29" i="10"/>
  <c r="BN29" i="9" s="1"/>
  <c r="BR28" i="10"/>
  <c r="BR28" i="9" s="1"/>
  <c r="BQ28" i="10"/>
  <c r="BQ28" i="9" s="1"/>
  <c r="BP28" i="10"/>
  <c r="BP28" i="9" s="1"/>
  <c r="BO28" i="10"/>
  <c r="BO28" i="9" s="1"/>
  <c r="BN28" i="10"/>
  <c r="BN28" i="9" s="1"/>
  <c r="BR27" i="10"/>
  <c r="BR27" i="9" s="1"/>
  <c r="BQ27" i="10"/>
  <c r="BQ27" i="9" s="1"/>
  <c r="BP27" i="10"/>
  <c r="BP27" i="9" s="1"/>
  <c r="BO27" i="10"/>
  <c r="BO27" i="9" s="1"/>
  <c r="BN27" i="10"/>
  <c r="BN27" i="9" s="1"/>
  <c r="BR26" i="10"/>
  <c r="BR26" i="9" s="1"/>
  <c r="BQ26" i="10"/>
  <c r="BQ26" i="9" s="1"/>
  <c r="BP26" i="10"/>
  <c r="BP26" i="9" s="1"/>
  <c r="BO26" i="10"/>
  <c r="BO26" i="9" s="1"/>
  <c r="BN26" i="10"/>
  <c r="BN26" i="9" s="1"/>
  <c r="BR25" i="10"/>
  <c r="BR25" i="9" s="1"/>
  <c r="BQ25" i="10"/>
  <c r="BQ25" i="9" s="1"/>
  <c r="BP25" i="10"/>
  <c r="BP25" i="9" s="1"/>
  <c r="BO25" i="10"/>
  <c r="BO25" i="9" s="1"/>
  <c r="BN25" i="10"/>
  <c r="BN25" i="9" s="1"/>
  <c r="BR24" i="10"/>
  <c r="BQ24" i="10"/>
  <c r="BQ24" i="9" s="1"/>
  <c r="BP24" i="10"/>
  <c r="BP24" i="9" s="1"/>
  <c r="BO24" i="10"/>
  <c r="BO24" i="9" s="1"/>
  <c r="BN24" i="10"/>
  <c r="BN24" i="9" s="1"/>
  <c r="BR23" i="10"/>
  <c r="BR23" i="9" s="1"/>
  <c r="BQ23" i="10"/>
  <c r="BQ23" i="9" s="1"/>
  <c r="BP23" i="10"/>
  <c r="BO23" i="10"/>
  <c r="BO23" i="9" s="1"/>
  <c r="BN23" i="10"/>
  <c r="BN23" i="9" s="1"/>
  <c r="BR22" i="10"/>
  <c r="BR22" i="9" s="1"/>
  <c r="BQ22" i="10"/>
  <c r="BQ22" i="9" s="1"/>
  <c r="BP22" i="10"/>
  <c r="BP22" i="9" s="1"/>
  <c r="BO22" i="10"/>
  <c r="BO22" i="9" s="1"/>
  <c r="BN22" i="10"/>
  <c r="BN22" i="9" s="1"/>
  <c r="BR21" i="10"/>
  <c r="BR21" i="9" s="1"/>
  <c r="BQ21" i="10"/>
  <c r="BQ21" i="9" s="1"/>
  <c r="BP21" i="10"/>
  <c r="BP21" i="9" s="1"/>
  <c r="BO21" i="10"/>
  <c r="BO21" i="9" s="1"/>
  <c r="BN21" i="10"/>
  <c r="BN21" i="9" s="1"/>
  <c r="BR20" i="10"/>
  <c r="BR20" i="9" s="1"/>
  <c r="BQ20" i="10"/>
  <c r="BQ20" i="9" s="1"/>
  <c r="BP20" i="10"/>
  <c r="BP20" i="9" s="1"/>
  <c r="BO20" i="10"/>
  <c r="BO20" i="9" s="1"/>
  <c r="BN20" i="10"/>
  <c r="BN20" i="9" s="1"/>
  <c r="BR19" i="10"/>
  <c r="BQ19" i="10"/>
  <c r="BQ19" i="9" s="1"/>
  <c r="BP19" i="10"/>
  <c r="BP19" i="9" s="1"/>
  <c r="BO19" i="10"/>
  <c r="BO19" i="9" s="1"/>
  <c r="BN19" i="10"/>
  <c r="BN19" i="9" s="1"/>
  <c r="BR18" i="10"/>
  <c r="BR18" i="9" s="1"/>
  <c r="BQ18" i="10"/>
  <c r="BP18" i="10"/>
  <c r="BO18" i="10"/>
  <c r="BO18" i="9" s="1"/>
  <c r="BN18" i="10"/>
  <c r="BN18" i="9" s="1"/>
  <c r="BR17" i="10"/>
  <c r="BR17" i="9" s="1"/>
  <c r="BQ17" i="10"/>
  <c r="BQ17" i="9" s="1"/>
  <c r="BP17" i="10"/>
  <c r="BP17" i="9" s="1"/>
  <c r="BO17" i="10"/>
  <c r="BO17" i="9" s="1"/>
  <c r="BN17" i="10"/>
  <c r="BN17" i="9" s="1"/>
  <c r="BR16" i="10"/>
  <c r="BR16" i="9" s="1"/>
  <c r="BQ16" i="10"/>
  <c r="BQ16" i="9" s="1"/>
  <c r="BP16" i="10"/>
  <c r="BP16" i="9" s="1"/>
  <c r="BO16" i="10"/>
  <c r="BO16" i="9" s="1"/>
  <c r="BN16" i="10"/>
  <c r="BN16" i="9" s="1"/>
  <c r="BR15" i="10"/>
  <c r="BR15" i="9" s="1"/>
  <c r="BQ15" i="10"/>
  <c r="BQ15" i="9" s="1"/>
  <c r="BP15" i="10"/>
  <c r="BP15" i="9" s="1"/>
  <c r="BO15" i="10"/>
  <c r="BO15" i="9" s="1"/>
  <c r="BN15" i="10"/>
  <c r="BN15" i="9" s="1"/>
  <c r="BR14" i="10"/>
  <c r="BR14" i="9" s="1"/>
  <c r="BQ14" i="10"/>
  <c r="BQ14" i="9" s="1"/>
  <c r="BP14" i="10"/>
  <c r="BP14" i="9" s="1"/>
  <c r="BO14" i="10"/>
  <c r="BO14" i="9" s="1"/>
  <c r="BN14" i="10"/>
  <c r="BN14" i="9" s="1"/>
  <c r="BR13" i="10"/>
  <c r="BR13" i="9" s="1"/>
  <c r="BQ13" i="10"/>
  <c r="BQ13" i="9" s="1"/>
  <c r="BP13" i="10"/>
  <c r="BP13" i="9" s="1"/>
  <c r="BO13" i="10"/>
  <c r="BO13" i="9" s="1"/>
  <c r="BN13" i="10"/>
  <c r="BN13" i="9" s="1"/>
  <c r="BR12" i="10"/>
  <c r="BR12" i="9" s="1"/>
  <c r="BQ12" i="10"/>
  <c r="BP12" i="10"/>
  <c r="BP12" i="9" s="1"/>
  <c r="BO12" i="10"/>
  <c r="BO12" i="9" s="1"/>
  <c r="BN12" i="10"/>
  <c r="BN12" i="9" s="1"/>
  <c r="BR11" i="10"/>
  <c r="BR11" i="9" s="1"/>
  <c r="BQ11" i="10"/>
  <c r="BQ11" i="9" s="1"/>
  <c r="BP11" i="10"/>
  <c r="BP11" i="9" s="1"/>
  <c r="BO11" i="10"/>
  <c r="BO11" i="9" s="1"/>
  <c r="BN11" i="10"/>
  <c r="BN11" i="9" s="1"/>
  <c r="BR10" i="10"/>
  <c r="BR10" i="9" s="1"/>
  <c r="BQ10" i="10"/>
  <c r="BQ10" i="9" s="1"/>
  <c r="BP10" i="10"/>
  <c r="BP10" i="9" s="1"/>
  <c r="BO10" i="10"/>
  <c r="BO10" i="9" s="1"/>
  <c r="BN10" i="10"/>
  <c r="BN10" i="9" s="1"/>
  <c r="BR9" i="10"/>
  <c r="BR9" i="9" s="1"/>
  <c r="BQ9" i="10"/>
  <c r="BQ9" i="9" s="1"/>
  <c r="BP9" i="10"/>
  <c r="BP9" i="9" s="1"/>
  <c r="BO9" i="10"/>
  <c r="BO9" i="9" s="1"/>
  <c r="BN9" i="10"/>
  <c r="BN9" i="9" s="1"/>
  <c r="BR8" i="10"/>
  <c r="BQ8" i="10"/>
  <c r="BQ8" i="9" s="1"/>
  <c r="BP8" i="10"/>
  <c r="BP8" i="9" s="1"/>
  <c r="BO8" i="10"/>
  <c r="BO8" i="9" s="1"/>
  <c r="BN8" i="10"/>
  <c r="BN8" i="9" s="1"/>
  <c r="BR7" i="10"/>
  <c r="BR7" i="9" s="1"/>
  <c r="BQ7" i="10"/>
  <c r="BQ7" i="9" s="1"/>
  <c r="BP7" i="10"/>
  <c r="BP7" i="9" s="1"/>
  <c r="BO7" i="10"/>
  <c r="BO7" i="9" s="1"/>
  <c r="BN7" i="10"/>
  <c r="BN7" i="9" s="1"/>
  <c r="BR6" i="10"/>
  <c r="BR6" i="9" s="1"/>
  <c r="BQ6" i="10"/>
  <c r="BQ6" i="9" s="1"/>
  <c r="BP6" i="10"/>
  <c r="BP6" i="9" s="1"/>
  <c r="BO6" i="10"/>
  <c r="BO6" i="9" s="1"/>
  <c r="BN6" i="10"/>
  <c r="BN6" i="9" s="1"/>
  <c r="BR5" i="10"/>
  <c r="BR5" i="9" s="1"/>
  <c r="BQ5" i="10"/>
  <c r="BQ5" i="9" s="1"/>
  <c r="BP5" i="10"/>
  <c r="BP5" i="9" s="1"/>
  <c r="BO5" i="10"/>
  <c r="BO5" i="9" s="1"/>
  <c r="BN5" i="10"/>
  <c r="BN5" i="9" s="1"/>
  <c r="BR4" i="10"/>
  <c r="BR4" i="9" s="1"/>
  <c r="BQ4" i="10"/>
  <c r="BQ4" i="9" s="1"/>
  <c r="BP4" i="10"/>
  <c r="BP4" i="9" s="1"/>
  <c r="BO4" i="10"/>
  <c r="BO4" i="9" s="1"/>
  <c r="BN4" i="10"/>
  <c r="BN4" i="9" s="1"/>
  <c r="BR3" i="10"/>
  <c r="BR3" i="9" s="1"/>
  <c r="BQ3" i="10"/>
  <c r="BQ3" i="9" s="1"/>
  <c r="BP3" i="10"/>
  <c r="BP3" i="9" s="1"/>
  <c r="BO3" i="10"/>
  <c r="BO3" i="9" s="1"/>
  <c r="BN3" i="10"/>
  <c r="BN3" i="9" s="1"/>
  <c r="BR2" i="10"/>
  <c r="BR2" i="9" s="1"/>
  <c r="BQ2" i="10"/>
  <c r="BP2" i="10"/>
  <c r="BP2" i="9" s="1"/>
  <c r="BO2" i="10"/>
  <c r="BO2" i="9" s="1"/>
  <c r="BN2" i="10"/>
  <c r="BN2" i="9" s="1"/>
  <c r="BR1" i="10"/>
  <c r="BR1" i="9" s="1"/>
  <c r="BQ1" i="10"/>
  <c r="BQ1" i="9" s="1"/>
  <c r="BP1" i="10"/>
  <c r="BP1" i="9" s="1"/>
  <c r="BO1" i="10"/>
  <c r="BO1" i="9" s="1"/>
  <c r="BN1" i="10"/>
  <c r="BN1" i="9" s="1"/>
  <c r="E1" i="10"/>
  <c r="E1" i="9" s="1"/>
  <c r="D1" i="10"/>
  <c r="D1" i="9" s="1"/>
  <c r="C1" i="10"/>
  <c r="C1" i="9" s="1"/>
  <c r="B1" i="10"/>
  <c r="B1" i="9" s="1"/>
  <c r="A1" i="10"/>
  <c r="A1" i="9" s="1"/>
  <c r="BM49" i="10"/>
  <c r="BM49" i="9" s="1"/>
  <c r="BL49" i="10"/>
  <c r="BL49" i="9" s="1"/>
  <c r="BK49" i="10"/>
  <c r="BK49" i="9"/>
  <c r="BJ49" i="10"/>
  <c r="BJ49" i="9" s="1"/>
  <c r="BI49" i="10"/>
  <c r="BI49" i="9" s="1"/>
  <c r="BM48" i="10"/>
  <c r="BM48" i="9"/>
  <c r="BL48" i="10"/>
  <c r="BL48" i="9" s="1"/>
  <c r="BK48" i="10"/>
  <c r="BK48" i="9" s="1"/>
  <c r="BJ48" i="10"/>
  <c r="BJ48" i="9" s="1"/>
  <c r="BI48" i="10"/>
  <c r="BI48" i="9" s="1"/>
  <c r="BM47" i="10"/>
  <c r="BM47" i="9" s="1"/>
  <c r="BL47" i="10"/>
  <c r="BL47" i="9" s="1"/>
  <c r="BK47" i="10"/>
  <c r="BK47" i="9" s="1"/>
  <c r="BJ47" i="10"/>
  <c r="BJ47" i="9"/>
  <c r="BI47" i="10"/>
  <c r="BI47" i="9" s="1"/>
  <c r="BM46" i="10"/>
  <c r="BM46" i="9" s="1"/>
  <c r="BL46" i="10"/>
  <c r="BL46" i="9" s="1"/>
  <c r="BK46" i="10"/>
  <c r="BK46" i="9" s="1"/>
  <c r="BJ46" i="10"/>
  <c r="BJ46" i="9" s="1"/>
  <c r="BI46" i="10"/>
  <c r="BI46" i="9" s="1"/>
  <c r="BM45" i="10"/>
  <c r="BM45" i="9" s="1"/>
  <c r="BL45" i="10"/>
  <c r="BL45" i="9"/>
  <c r="BK45" i="10"/>
  <c r="BK45" i="9" s="1"/>
  <c r="BJ45" i="10"/>
  <c r="BJ45" i="9" s="1"/>
  <c r="BI45" i="10"/>
  <c r="BI45" i="9" s="1"/>
  <c r="BM44" i="10"/>
  <c r="BM44" i="9"/>
  <c r="BL44" i="10"/>
  <c r="BL44" i="9"/>
  <c r="BK44" i="10"/>
  <c r="BK44" i="9" s="1"/>
  <c r="BJ44" i="10"/>
  <c r="BJ44" i="9" s="1"/>
  <c r="BI44" i="10"/>
  <c r="BI44" i="9"/>
  <c r="BM43" i="10"/>
  <c r="BM43" i="9" s="1"/>
  <c r="BL43" i="10"/>
  <c r="BL43" i="9" s="1"/>
  <c r="BK43" i="10"/>
  <c r="BK43" i="9" s="1"/>
  <c r="BJ43" i="10"/>
  <c r="BJ43" i="9" s="1"/>
  <c r="BI43" i="10"/>
  <c r="BI43" i="9"/>
  <c r="BM42" i="10"/>
  <c r="BM42" i="9" s="1"/>
  <c r="BL42" i="10"/>
  <c r="BL42" i="9" s="1"/>
  <c r="BK42" i="10"/>
  <c r="BK42" i="9" s="1"/>
  <c r="BJ42" i="10"/>
  <c r="BJ42" i="9"/>
  <c r="BI42" i="10"/>
  <c r="BI42" i="9" s="1"/>
  <c r="BM41" i="10"/>
  <c r="BM41" i="9" s="1"/>
  <c r="BL41" i="10"/>
  <c r="BL41" i="9"/>
  <c r="BK41" i="10"/>
  <c r="BK41" i="9" s="1"/>
  <c r="BJ41" i="10"/>
  <c r="BJ41" i="9" s="1"/>
  <c r="BI41" i="10"/>
  <c r="BI41" i="9" s="1"/>
  <c r="BM40" i="10"/>
  <c r="BM40" i="9"/>
  <c r="BL40" i="10"/>
  <c r="BL40" i="9"/>
  <c r="BK40" i="10"/>
  <c r="BK40" i="9" s="1"/>
  <c r="BJ40" i="10"/>
  <c r="BJ40" i="9" s="1"/>
  <c r="BI40" i="10"/>
  <c r="BI40" i="9"/>
  <c r="BM39" i="10"/>
  <c r="BM39" i="9" s="1"/>
  <c r="BL39" i="10"/>
  <c r="BL39" i="9" s="1"/>
  <c r="BK39" i="10"/>
  <c r="BK39" i="9" s="1"/>
  <c r="BJ39" i="10"/>
  <c r="BJ39" i="9" s="1"/>
  <c r="BI39" i="10"/>
  <c r="BI39" i="9"/>
  <c r="BM38" i="10"/>
  <c r="BM38" i="9" s="1"/>
  <c r="BL38" i="10"/>
  <c r="BL38" i="9" s="1"/>
  <c r="BK38" i="10"/>
  <c r="BK38" i="9"/>
  <c r="BJ38" i="10"/>
  <c r="BJ38" i="9" s="1"/>
  <c r="BI38" i="10"/>
  <c r="BI38" i="9" s="1"/>
  <c r="BM37" i="10"/>
  <c r="BM37" i="9" s="1"/>
  <c r="BL37" i="10"/>
  <c r="BL37" i="9"/>
  <c r="BK37" i="10"/>
  <c r="BK37" i="9"/>
  <c r="BJ37" i="10"/>
  <c r="BJ37" i="9" s="1"/>
  <c r="BI37" i="10"/>
  <c r="BI37" i="9" s="1"/>
  <c r="BM36" i="10"/>
  <c r="BM36" i="9"/>
  <c r="BL36" i="10"/>
  <c r="BL36" i="9" s="1"/>
  <c r="BK36" i="10"/>
  <c r="BK36" i="9" s="1"/>
  <c r="BJ36" i="10"/>
  <c r="BJ36" i="9" s="1"/>
  <c r="BI36" i="10"/>
  <c r="BI36" i="9" s="1"/>
  <c r="BM35" i="10"/>
  <c r="BM35" i="9" s="1"/>
  <c r="BL35" i="10"/>
  <c r="BL35" i="9" s="1"/>
  <c r="BK35" i="10"/>
  <c r="BK35" i="9" s="1"/>
  <c r="BJ35" i="10"/>
  <c r="BJ35" i="9" s="1"/>
  <c r="BI35" i="10"/>
  <c r="BI35" i="9" s="1"/>
  <c r="BM34" i="10"/>
  <c r="BM34" i="9" s="1"/>
  <c r="BL34" i="10"/>
  <c r="BL34" i="9" s="1"/>
  <c r="BK34" i="10"/>
  <c r="BK34" i="9"/>
  <c r="BJ34" i="10"/>
  <c r="BJ34" i="9" s="1"/>
  <c r="BI34" i="10"/>
  <c r="BI34" i="9" s="1"/>
  <c r="BM33" i="10"/>
  <c r="BM33" i="9" s="1"/>
  <c r="BL33" i="10"/>
  <c r="BL33" i="9" s="1"/>
  <c r="BK33" i="10"/>
  <c r="BK33" i="9" s="1"/>
  <c r="BJ33" i="10"/>
  <c r="BJ33" i="9"/>
  <c r="BI33" i="10"/>
  <c r="BI33" i="9" s="1"/>
  <c r="BM32" i="10"/>
  <c r="BM32" i="9"/>
  <c r="BL32" i="10"/>
  <c r="BL32" i="9" s="1"/>
  <c r="BK32" i="10"/>
  <c r="BK32" i="9" s="1"/>
  <c r="BJ32" i="10"/>
  <c r="BJ32" i="9" s="1"/>
  <c r="BI32" i="10"/>
  <c r="BI32" i="9" s="1"/>
  <c r="BM31" i="10"/>
  <c r="BM31" i="9" s="1"/>
  <c r="BL31" i="10"/>
  <c r="BL31" i="9" s="1"/>
  <c r="BK31" i="10"/>
  <c r="BK31" i="9" s="1"/>
  <c r="BJ31" i="10"/>
  <c r="BJ31" i="9"/>
  <c r="BI31" i="10"/>
  <c r="BI31" i="9" s="1"/>
  <c r="BM30" i="10"/>
  <c r="BM30" i="9" s="1"/>
  <c r="BL30" i="10"/>
  <c r="BL30" i="9" s="1"/>
  <c r="BK30" i="10"/>
  <c r="BK30" i="9" s="1"/>
  <c r="BJ30" i="10"/>
  <c r="BJ30" i="9" s="1"/>
  <c r="BI30" i="10"/>
  <c r="BI30" i="9" s="1"/>
  <c r="BM29" i="10"/>
  <c r="BM29" i="9" s="1"/>
  <c r="BL29" i="10"/>
  <c r="BL29" i="9"/>
  <c r="BK29" i="10"/>
  <c r="BK29" i="9" s="1"/>
  <c r="BJ29" i="10"/>
  <c r="BJ29" i="9" s="1"/>
  <c r="BI29" i="10"/>
  <c r="BI29" i="9" s="1"/>
  <c r="BM28" i="10"/>
  <c r="BM28" i="9"/>
  <c r="BL28" i="10"/>
  <c r="BL28" i="9"/>
  <c r="BK28" i="10"/>
  <c r="BK28" i="9" s="1"/>
  <c r="BJ28" i="10"/>
  <c r="BJ28" i="9" s="1"/>
  <c r="BI28" i="10"/>
  <c r="BI28" i="9"/>
  <c r="BM27" i="10"/>
  <c r="BM27" i="9"/>
  <c r="BL27" i="10"/>
  <c r="BL27" i="9" s="1"/>
  <c r="BK27" i="10"/>
  <c r="BK27" i="9" s="1"/>
  <c r="BJ27" i="10"/>
  <c r="BJ27" i="9" s="1"/>
  <c r="BI27" i="10"/>
  <c r="BI27" i="9"/>
  <c r="BM26" i="10"/>
  <c r="BM26" i="9" s="1"/>
  <c r="BL26" i="10"/>
  <c r="BL26" i="9" s="1"/>
  <c r="BK26" i="10"/>
  <c r="BK26" i="9"/>
  <c r="BJ26" i="10"/>
  <c r="BJ26" i="9" s="1"/>
  <c r="BI26" i="10"/>
  <c r="BI26" i="9" s="1"/>
  <c r="BM25" i="10"/>
  <c r="BM25" i="9" s="1"/>
  <c r="BL25" i="10"/>
  <c r="BL25" i="9"/>
  <c r="BK25" i="10"/>
  <c r="BK25" i="9"/>
  <c r="BJ25" i="10"/>
  <c r="BJ25" i="9" s="1"/>
  <c r="BI25" i="10"/>
  <c r="BI25" i="9" s="1"/>
  <c r="BM24" i="10"/>
  <c r="BM24" i="9"/>
  <c r="BL24" i="10"/>
  <c r="BL24" i="9"/>
  <c r="BK24" i="10"/>
  <c r="BK24" i="9" s="1"/>
  <c r="BJ24" i="10"/>
  <c r="BJ24" i="9" s="1"/>
  <c r="BI24" i="10"/>
  <c r="BI24" i="9" s="1"/>
  <c r="BM23" i="10"/>
  <c r="BM23" i="9"/>
  <c r="BL23" i="10"/>
  <c r="BL23" i="9" s="1"/>
  <c r="BK23" i="10"/>
  <c r="BK23" i="9" s="1"/>
  <c r="BJ23" i="10"/>
  <c r="BJ23" i="9"/>
  <c r="BI23" i="10"/>
  <c r="BI23" i="9" s="1"/>
  <c r="BM22" i="10"/>
  <c r="BM22" i="9" s="1"/>
  <c r="BL22" i="10"/>
  <c r="BL22" i="9" s="1"/>
  <c r="BK22" i="10"/>
  <c r="BK22" i="9"/>
  <c r="BJ22" i="10"/>
  <c r="BJ22" i="9"/>
  <c r="BI22" i="10"/>
  <c r="BI22" i="9" s="1"/>
  <c r="BM21" i="10"/>
  <c r="BM21" i="9" s="1"/>
  <c r="BL21" i="10"/>
  <c r="BL21" i="9"/>
  <c r="BK21" i="10"/>
  <c r="BK21" i="9"/>
  <c r="BJ21" i="10"/>
  <c r="BJ21" i="9" s="1"/>
  <c r="BI21" i="10"/>
  <c r="BI21" i="9" s="1"/>
  <c r="BM20" i="10"/>
  <c r="BM20" i="9" s="1"/>
  <c r="BL20" i="10"/>
  <c r="BL20" i="9" s="1"/>
  <c r="BK20" i="10"/>
  <c r="BK20" i="9" s="1"/>
  <c r="BJ20" i="10"/>
  <c r="BJ20" i="9" s="1"/>
  <c r="BI20" i="10"/>
  <c r="BI20" i="9" s="1"/>
  <c r="BM19" i="10"/>
  <c r="BM19" i="9" s="1"/>
  <c r="BL19" i="10"/>
  <c r="BL19" i="9" s="1"/>
  <c r="BK19" i="10"/>
  <c r="BK19" i="9" s="1"/>
  <c r="BJ19" i="10"/>
  <c r="BJ19" i="9"/>
  <c r="BI19" i="10"/>
  <c r="BI19" i="9" s="1"/>
  <c r="BM18" i="10"/>
  <c r="BM18" i="9"/>
  <c r="BL18" i="10"/>
  <c r="BL18" i="9" s="1"/>
  <c r="BK18" i="10"/>
  <c r="BK18" i="9"/>
  <c r="BJ18" i="10"/>
  <c r="BJ18" i="9"/>
  <c r="BI18" i="10"/>
  <c r="BI18" i="9" s="1"/>
  <c r="BM17" i="10"/>
  <c r="BM17" i="9" s="1"/>
  <c r="BL17" i="10"/>
  <c r="BL17" i="9" s="1"/>
  <c r="BK17" i="10"/>
  <c r="BK17" i="9"/>
  <c r="BJ17" i="10"/>
  <c r="BJ17" i="9"/>
  <c r="BI17" i="10"/>
  <c r="BI17" i="9" s="1"/>
  <c r="BM16" i="10"/>
  <c r="BM16" i="9" s="1"/>
  <c r="BL16" i="10"/>
  <c r="BL16" i="9" s="1"/>
  <c r="BK16" i="10"/>
  <c r="BK16" i="9" s="1"/>
  <c r="BJ16" i="10"/>
  <c r="BJ16" i="9" s="1"/>
  <c r="BI16" i="10"/>
  <c r="BI16" i="9" s="1"/>
  <c r="BM15" i="10"/>
  <c r="BM15" i="9" s="1"/>
  <c r="BL15" i="10"/>
  <c r="BL15" i="9" s="1"/>
  <c r="BK15" i="10"/>
  <c r="BK15" i="9" s="1"/>
  <c r="BJ15" i="10"/>
  <c r="BJ15" i="9"/>
  <c r="BI15" i="10"/>
  <c r="BI15" i="9" s="1"/>
  <c r="BM14" i="10"/>
  <c r="BM14" i="9" s="1"/>
  <c r="BL14" i="10"/>
  <c r="BL14" i="9" s="1"/>
  <c r="BK14" i="10"/>
  <c r="BK14" i="9" s="1"/>
  <c r="BJ14" i="10"/>
  <c r="BJ14" i="9" s="1"/>
  <c r="BI14" i="10"/>
  <c r="BI14" i="9"/>
  <c r="BM13" i="10"/>
  <c r="BM13" i="9" s="1"/>
  <c r="BL13" i="10"/>
  <c r="BL13" i="9"/>
  <c r="BK13" i="10"/>
  <c r="BK13" i="9" s="1"/>
  <c r="BJ13" i="10"/>
  <c r="BJ13" i="9" s="1"/>
  <c r="BI13" i="10"/>
  <c r="BI13" i="9" s="1"/>
  <c r="BM12" i="10"/>
  <c r="BM12" i="9" s="1"/>
  <c r="BL12" i="10"/>
  <c r="BL12" i="9" s="1"/>
  <c r="BK12" i="10"/>
  <c r="BK12" i="9" s="1"/>
  <c r="BJ12" i="10"/>
  <c r="BJ12" i="9" s="1"/>
  <c r="BI12" i="10"/>
  <c r="BI12" i="9"/>
  <c r="BM11" i="10"/>
  <c r="BM11" i="9" s="1"/>
  <c r="BL11" i="10"/>
  <c r="BL11" i="9" s="1"/>
  <c r="BK11" i="10"/>
  <c r="BK11" i="9" s="1"/>
  <c r="BJ11" i="10"/>
  <c r="BJ11" i="9" s="1"/>
  <c r="BI11" i="10"/>
  <c r="BI11" i="9" s="1"/>
  <c r="BM10" i="10"/>
  <c r="BM10" i="9" s="1"/>
  <c r="BL10" i="10"/>
  <c r="BL10" i="9" s="1"/>
  <c r="BK10" i="10"/>
  <c r="BK10" i="9"/>
  <c r="BJ10" i="10"/>
  <c r="BJ10" i="9" s="1"/>
  <c r="BI10" i="10"/>
  <c r="BI10" i="9" s="1"/>
  <c r="BM9" i="10"/>
  <c r="BM9" i="9" s="1"/>
  <c r="BL9" i="10"/>
  <c r="BL9" i="9"/>
  <c r="BK9" i="10"/>
  <c r="BK9" i="9" s="1"/>
  <c r="BJ9" i="10"/>
  <c r="BJ9" i="9"/>
  <c r="BI9" i="10"/>
  <c r="BI9" i="9" s="1"/>
  <c r="BM8" i="10"/>
  <c r="BM8" i="9"/>
  <c r="BL8" i="10"/>
  <c r="BL8" i="9"/>
  <c r="BK8" i="10"/>
  <c r="BK8" i="9" s="1"/>
  <c r="BJ8" i="10"/>
  <c r="BJ8" i="9" s="1"/>
  <c r="BI8" i="10"/>
  <c r="BI8" i="9" s="1"/>
  <c r="BM7" i="10"/>
  <c r="BM7" i="9" s="1"/>
  <c r="BL7" i="10"/>
  <c r="BL7" i="9" s="1"/>
  <c r="BK7" i="10"/>
  <c r="BK7" i="9" s="1"/>
  <c r="BJ7" i="10"/>
  <c r="BJ7" i="9" s="1"/>
  <c r="BI7" i="10"/>
  <c r="BI7" i="9"/>
  <c r="BM6" i="10"/>
  <c r="BM6" i="9" s="1"/>
  <c r="BL6" i="10"/>
  <c r="BL6" i="9" s="1"/>
  <c r="BK6" i="10"/>
  <c r="BK6" i="9"/>
  <c r="BJ6" i="10"/>
  <c r="BJ6" i="9" s="1"/>
  <c r="BI6" i="10"/>
  <c r="BI6" i="9" s="1"/>
  <c r="BM5" i="10"/>
  <c r="BM5" i="9" s="1"/>
  <c r="BL5" i="10"/>
  <c r="BL5" i="9" s="1"/>
  <c r="BK5" i="10"/>
  <c r="BK5" i="9"/>
  <c r="BJ5" i="10"/>
  <c r="BJ5" i="9" s="1"/>
  <c r="BI5" i="10"/>
  <c r="BI5" i="9" s="1"/>
  <c r="BM4" i="10"/>
  <c r="BM4" i="9"/>
  <c r="BL4" i="10"/>
  <c r="BL4" i="9" s="1"/>
  <c r="BK4" i="10"/>
  <c r="BK4" i="9" s="1"/>
  <c r="BJ4" i="10"/>
  <c r="BJ4" i="9" s="1"/>
  <c r="BI4" i="10"/>
  <c r="BI4" i="9"/>
  <c r="BM3" i="10"/>
  <c r="BM3" i="9" s="1"/>
  <c r="BL3" i="10"/>
  <c r="BL3" i="9" s="1"/>
  <c r="BK3" i="10"/>
  <c r="BK3" i="9" s="1"/>
  <c r="BJ3" i="10"/>
  <c r="BJ3" i="9" s="1"/>
  <c r="BI3" i="10"/>
  <c r="BI3" i="9"/>
  <c r="BM2" i="10"/>
  <c r="BM2" i="9" s="1"/>
  <c r="BL2" i="10"/>
  <c r="BL2" i="9" s="1"/>
  <c r="BK2" i="10"/>
  <c r="BK2" i="9" s="1"/>
  <c r="BJ2" i="10"/>
  <c r="BJ2" i="9" s="1"/>
  <c r="BI2" i="10"/>
  <c r="BI2" i="9" s="1"/>
  <c r="BM1" i="10"/>
  <c r="BM1" i="9" s="1"/>
  <c r="BL1" i="10"/>
  <c r="BL1" i="9" s="1"/>
  <c r="BK1" i="10"/>
  <c r="BK1" i="9"/>
  <c r="BJ1" i="10"/>
  <c r="BJ1" i="9" s="1"/>
  <c r="BI1" i="10"/>
  <c r="BI1" i="9" s="1"/>
  <c r="BH49" i="10"/>
  <c r="BH49" i="9" s="1"/>
  <c r="BG49" i="10"/>
  <c r="BG49" i="9" s="1"/>
  <c r="BF49" i="10"/>
  <c r="BF49" i="9" s="1"/>
  <c r="BE49" i="10"/>
  <c r="BE49" i="9"/>
  <c r="BD49" i="10"/>
  <c r="BD49" i="9" s="1"/>
  <c r="BH48" i="10"/>
  <c r="BH48" i="9" s="1"/>
  <c r="BG48" i="10"/>
  <c r="BG48" i="9"/>
  <c r="BF48" i="10"/>
  <c r="BF48" i="9" s="1"/>
  <c r="BE48" i="10"/>
  <c r="BE48" i="9" s="1"/>
  <c r="BD48" i="10"/>
  <c r="BD48" i="9" s="1"/>
  <c r="BH47" i="10"/>
  <c r="BH47" i="9" s="1"/>
  <c r="BG47" i="10"/>
  <c r="BG47" i="9"/>
  <c r="BF47" i="10"/>
  <c r="BF47" i="9" s="1"/>
  <c r="BE47" i="10"/>
  <c r="BE47" i="9" s="1"/>
  <c r="BD47" i="10"/>
  <c r="BD47" i="9"/>
  <c r="BH46" i="10"/>
  <c r="BH46" i="9" s="1"/>
  <c r="BG46" i="10"/>
  <c r="BG46" i="9" s="1"/>
  <c r="BF46" i="10"/>
  <c r="BF46" i="9" s="1"/>
  <c r="BE46" i="10"/>
  <c r="BE46" i="9" s="1"/>
  <c r="BD46" i="10"/>
  <c r="BD46" i="9"/>
  <c r="BH45" i="10"/>
  <c r="BH45" i="9" s="1"/>
  <c r="BG45" i="10"/>
  <c r="BG45" i="9" s="1"/>
  <c r="BF45" i="10"/>
  <c r="BF45" i="9"/>
  <c r="BE45" i="10"/>
  <c r="BE45" i="9" s="1"/>
  <c r="BD45" i="10"/>
  <c r="BD45" i="9" s="1"/>
  <c r="BH44" i="10"/>
  <c r="BH44" i="9" s="1"/>
  <c r="BG44" i="10"/>
  <c r="BG44" i="9" s="1"/>
  <c r="BF44" i="10"/>
  <c r="BF44" i="9" s="1"/>
  <c r="BE44" i="10"/>
  <c r="BE44" i="9" s="1"/>
  <c r="BD44" i="10"/>
  <c r="BD44" i="9" s="1"/>
  <c r="BH43" i="10"/>
  <c r="BH43" i="9"/>
  <c r="BG43" i="10"/>
  <c r="BG43" i="9"/>
  <c r="BF43" i="10"/>
  <c r="BF43" i="9" s="1"/>
  <c r="BE43" i="10"/>
  <c r="BE43" i="9" s="1"/>
  <c r="BD43" i="10"/>
  <c r="BD43" i="9" s="1"/>
  <c r="BH42" i="10"/>
  <c r="BH42" i="9"/>
  <c r="BG42" i="10"/>
  <c r="BG42" i="9"/>
  <c r="BF42" i="10"/>
  <c r="BF42" i="9" s="1"/>
  <c r="BE42" i="10"/>
  <c r="BE42" i="9"/>
  <c r="BD42" i="10"/>
  <c r="BD42" i="9" s="1"/>
  <c r="BH41" i="10"/>
  <c r="BH41" i="9" s="1"/>
  <c r="BG41" i="10"/>
  <c r="BG41" i="9" s="1"/>
  <c r="BF41" i="10"/>
  <c r="BF41" i="9" s="1"/>
  <c r="BE41" i="10"/>
  <c r="BE41" i="9" s="1"/>
  <c r="BD41" i="10"/>
  <c r="BD41" i="9" s="1"/>
  <c r="BH40" i="10"/>
  <c r="BH40" i="9" s="1"/>
  <c r="BG40" i="10"/>
  <c r="BG40" i="9"/>
  <c r="BF40" i="10"/>
  <c r="BF40" i="9" s="1"/>
  <c r="BE40" i="10"/>
  <c r="BE40" i="9" s="1"/>
  <c r="BD40" i="10"/>
  <c r="BD40" i="9" s="1"/>
  <c r="BH39" i="10"/>
  <c r="BH39" i="9" s="1"/>
  <c r="BG39" i="10"/>
  <c r="BG39" i="9" s="1"/>
  <c r="BF39" i="10"/>
  <c r="BF39" i="9"/>
  <c r="BE39" i="10"/>
  <c r="BE39" i="9" s="1"/>
  <c r="BD39" i="10"/>
  <c r="BD39" i="9"/>
  <c r="BH38" i="10"/>
  <c r="BH38" i="9" s="1"/>
  <c r="BG38" i="10"/>
  <c r="BG38" i="9" s="1"/>
  <c r="BF38" i="10"/>
  <c r="BF38" i="9" s="1"/>
  <c r="BE38" i="10"/>
  <c r="BE38" i="9" s="1"/>
  <c r="BD38" i="10"/>
  <c r="BD38" i="9" s="1"/>
  <c r="BH37" i="10"/>
  <c r="BH37" i="9" s="1"/>
  <c r="BG37" i="10"/>
  <c r="BG37" i="9" s="1"/>
  <c r="BF37" i="10"/>
  <c r="BF37" i="9"/>
  <c r="BE37" i="10"/>
  <c r="BE37" i="9" s="1"/>
  <c r="BD37" i="10"/>
  <c r="BD37" i="9" s="1"/>
  <c r="BH36" i="10"/>
  <c r="BH36" i="9" s="1"/>
  <c r="BG36" i="10"/>
  <c r="BG36" i="9" s="1"/>
  <c r="BF36" i="10"/>
  <c r="BF36" i="9" s="1"/>
  <c r="BE36" i="10"/>
  <c r="BE36" i="9"/>
  <c r="BD36" i="10"/>
  <c r="BD36" i="9" s="1"/>
  <c r="BH35" i="10"/>
  <c r="BH35" i="9"/>
  <c r="BG35" i="10"/>
  <c r="BG35" i="9" s="1"/>
  <c r="BF35" i="10"/>
  <c r="BF35" i="9" s="1"/>
  <c r="BE35" i="10"/>
  <c r="BE35" i="9" s="1"/>
  <c r="BD35" i="10"/>
  <c r="BD35" i="9" s="1"/>
  <c r="BH34" i="10"/>
  <c r="BH34" i="9" s="1"/>
  <c r="BG34" i="10"/>
  <c r="BG34" i="9" s="1"/>
  <c r="BF34" i="10"/>
  <c r="BF34" i="9" s="1"/>
  <c r="BE34" i="10"/>
  <c r="BE34" i="9"/>
  <c r="BD34" i="10"/>
  <c r="BD34" i="9" s="1"/>
  <c r="BH33" i="10"/>
  <c r="BH33" i="9" s="1"/>
  <c r="BG33" i="10"/>
  <c r="BG33" i="9" s="1"/>
  <c r="BF33" i="10"/>
  <c r="BF33" i="9" s="1"/>
  <c r="BE33" i="10"/>
  <c r="BE33" i="9" s="1"/>
  <c r="BD33" i="10"/>
  <c r="BD33" i="9" s="1"/>
  <c r="BH32" i="10"/>
  <c r="BH32" i="9" s="1"/>
  <c r="BG32" i="10"/>
  <c r="BG32" i="9"/>
  <c r="BF32" i="10"/>
  <c r="BF32" i="9" s="1"/>
  <c r="BE32" i="10"/>
  <c r="BE32" i="9" s="1"/>
  <c r="BD32" i="10"/>
  <c r="BD32" i="9" s="1"/>
  <c r="BH31" i="10"/>
  <c r="BH31" i="9"/>
  <c r="BG31" i="10"/>
  <c r="BG31" i="9" s="1"/>
  <c r="BF31" i="10"/>
  <c r="BF31" i="9" s="1"/>
  <c r="BE31" i="10"/>
  <c r="BE31" i="9" s="1"/>
  <c r="BD31" i="10"/>
  <c r="BD31" i="9" s="1"/>
  <c r="BH30" i="10"/>
  <c r="BH30" i="9"/>
  <c r="BG30" i="10"/>
  <c r="BG30" i="9" s="1"/>
  <c r="BF30" i="10"/>
  <c r="BF30" i="9" s="1"/>
  <c r="BE30" i="10"/>
  <c r="BE30" i="9"/>
  <c r="BD30" i="10"/>
  <c r="BD30" i="9" s="1"/>
  <c r="BH29" i="10"/>
  <c r="BH29" i="9"/>
  <c r="BG29" i="10"/>
  <c r="BG29" i="9" s="1"/>
  <c r="BF29" i="10"/>
  <c r="BF29" i="9" s="1"/>
  <c r="BE29" i="10"/>
  <c r="BE29" i="9"/>
  <c r="BD29" i="10"/>
  <c r="BD29" i="9" s="1"/>
  <c r="BH28" i="10"/>
  <c r="BH28" i="9" s="1"/>
  <c r="BG28" i="10"/>
  <c r="BG28" i="9"/>
  <c r="BF28" i="10"/>
  <c r="BF28" i="9" s="1"/>
  <c r="BE28" i="10"/>
  <c r="BE28" i="9" s="1"/>
  <c r="BD28" i="10"/>
  <c r="BD28" i="9" s="1"/>
  <c r="BH27" i="10"/>
  <c r="BH27" i="9" s="1"/>
  <c r="BG27" i="10"/>
  <c r="BG27" i="9"/>
  <c r="BF27" i="10"/>
  <c r="BF27" i="9" s="1"/>
  <c r="BE27" i="10"/>
  <c r="BE27" i="9" s="1"/>
  <c r="BD27" i="10"/>
  <c r="BD27" i="9"/>
  <c r="BH26" i="10"/>
  <c r="BH26" i="9" s="1"/>
  <c r="BG26" i="10"/>
  <c r="BG26" i="9" s="1"/>
  <c r="BF26" i="10"/>
  <c r="BF26" i="9" s="1"/>
  <c r="BE26" i="10"/>
  <c r="BE26" i="9"/>
  <c r="BD26" i="10"/>
  <c r="BD26" i="9"/>
  <c r="BH25" i="10"/>
  <c r="BH25" i="9" s="1"/>
  <c r="BG25" i="10"/>
  <c r="BG25" i="9" s="1"/>
  <c r="BF25" i="10"/>
  <c r="BF25" i="9"/>
  <c r="BE25" i="10"/>
  <c r="BE25" i="9"/>
  <c r="BD25" i="10"/>
  <c r="BD25" i="9" s="1"/>
  <c r="BH24" i="10"/>
  <c r="BH24" i="9" s="1"/>
  <c r="BG24" i="10"/>
  <c r="BG24" i="9" s="1"/>
  <c r="BF24" i="10"/>
  <c r="BF24" i="9"/>
  <c r="BE24" i="10"/>
  <c r="BE24" i="9" s="1"/>
  <c r="BD24" i="10"/>
  <c r="BD24" i="9" s="1"/>
  <c r="BH23" i="10"/>
  <c r="BH23" i="9"/>
  <c r="BG23" i="10"/>
  <c r="BG23" i="9" s="1"/>
  <c r="BF23" i="10"/>
  <c r="BF23" i="9" s="1"/>
  <c r="BE23" i="10"/>
  <c r="BE23" i="9" s="1"/>
  <c r="BD23" i="10"/>
  <c r="BD23" i="9" s="1"/>
  <c r="BH22" i="10"/>
  <c r="BH22" i="9"/>
  <c r="BG22" i="10"/>
  <c r="BG22" i="9" s="1"/>
  <c r="BF22" i="10"/>
  <c r="BF22" i="9" s="1"/>
  <c r="BE22" i="10"/>
  <c r="BE22" i="9"/>
  <c r="BD22" i="10"/>
  <c r="BD22" i="9" s="1"/>
  <c r="BH21" i="10"/>
  <c r="BH21" i="9" s="1"/>
  <c r="BG21" i="10"/>
  <c r="BG21" i="9" s="1"/>
  <c r="BF21" i="10"/>
  <c r="BF21" i="9" s="1"/>
  <c r="BE21" i="10"/>
  <c r="BE21" i="9"/>
  <c r="BD21" i="10"/>
  <c r="BD21" i="9" s="1"/>
  <c r="BH20" i="10"/>
  <c r="BH20" i="9" s="1"/>
  <c r="BG20" i="10"/>
  <c r="BG20" i="9"/>
  <c r="BF20" i="10"/>
  <c r="BF20" i="9" s="1"/>
  <c r="BE20" i="10"/>
  <c r="BE20" i="9" s="1"/>
  <c r="BD20" i="10"/>
  <c r="BD20" i="9" s="1"/>
  <c r="BH19" i="10"/>
  <c r="BH19" i="9" s="1"/>
  <c r="BG19" i="10"/>
  <c r="BG19" i="9"/>
  <c r="BF19" i="10"/>
  <c r="BF19" i="9" s="1"/>
  <c r="BE19" i="10"/>
  <c r="BE19" i="9" s="1"/>
  <c r="BD19" i="10"/>
  <c r="BD19" i="9"/>
  <c r="BH18" i="10"/>
  <c r="BH18" i="9" s="1"/>
  <c r="BG18" i="10"/>
  <c r="BG18" i="9" s="1"/>
  <c r="BF18" i="10"/>
  <c r="BF18" i="9" s="1"/>
  <c r="BE18" i="10"/>
  <c r="BE18" i="9" s="1"/>
  <c r="BD18" i="10"/>
  <c r="BD18" i="9"/>
  <c r="BH17" i="10"/>
  <c r="BH17" i="9" s="1"/>
  <c r="BG17" i="10"/>
  <c r="BG17" i="9" s="1"/>
  <c r="BF17" i="10"/>
  <c r="BF17" i="9"/>
  <c r="BE17" i="10"/>
  <c r="BE17" i="9" s="1"/>
  <c r="BD17" i="10"/>
  <c r="BD17" i="9" s="1"/>
  <c r="BH16" i="10"/>
  <c r="BH16" i="9" s="1"/>
  <c r="BG16" i="10"/>
  <c r="BG16" i="9"/>
  <c r="BF16" i="10"/>
  <c r="BF16" i="9" s="1"/>
  <c r="BE16" i="10"/>
  <c r="BE16" i="9" s="1"/>
  <c r="BD16" i="10"/>
  <c r="BD16" i="9" s="1"/>
  <c r="BH15" i="10"/>
  <c r="BH15" i="9" s="1"/>
  <c r="BG15" i="10"/>
  <c r="BG15" i="9"/>
  <c r="BF15" i="10"/>
  <c r="BF15" i="9" s="1"/>
  <c r="BE15" i="10"/>
  <c r="BE15" i="9" s="1"/>
  <c r="BD15" i="10"/>
  <c r="BD15" i="9" s="1"/>
  <c r="BH14" i="10"/>
  <c r="BH14" i="9"/>
  <c r="BG14" i="10"/>
  <c r="BG14" i="9" s="1"/>
  <c r="BF14" i="10"/>
  <c r="BF14" i="9" s="1"/>
  <c r="BE14" i="10"/>
  <c r="BE14" i="9"/>
  <c r="BD14" i="10"/>
  <c r="BD14" i="9" s="1"/>
  <c r="BH13" i="10"/>
  <c r="BH13" i="9" s="1"/>
  <c r="BG13" i="10"/>
  <c r="BG13" i="9" s="1"/>
  <c r="BF13" i="10"/>
  <c r="BF13" i="9" s="1"/>
  <c r="BE13" i="10"/>
  <c r="BE13" i="9"/>
  <c r="BD13" i="10"/>
  <c r="BD13" i="9" s="1"/>
  <c r="BH12" i="10"/>
  <c r="BH12" i="9" s="1"/>
  <c r="BG12" i="10"/>
  <c r="BG12" i="9"/>
  <c r="BF12" i="10"/>
  <c r="BF12" i="9" s="1"/>
  <c r="BE12" i="10"/>
  <c r="BE12" i="9" s="1"/>
  <c r="BD12" i="10"/>
  <c r="BD12" i="9" s="1"/>
  <c r="BH11" i="10"/>
  <c r="BH11" i="9" s="1"/>
  <c r="BG11" i="10"/>
  <c r="BG11" i="9"/>
  <c r="BF11" i="10"/>
  <c r="BF11" i="9" s="1"/>
  <c r="BE11" i="10"/>
  <c r="BE11" i="9" s="1"/>
  <c r="BD11" i="10"/>
  <c r="BD11" i="9"/>
  <c r="BH10" i="10"/>
  <c r="BH10" i="9" s="1"/>
  <c r="BG10" i="10"/>
  <c r="BG10" i="9" s="1"/>
  <c r="BF10" i="10"/>
  <c r="BF10" i="9" s="1"/>
  <c r="BE10" i="10"/>
  <c r="BE10" i="9" s="1"/>
  <c r="BD10" i="10"/>
  <c r="BD10" i="9"/>
  <c r="BH9" i="10"/>
  <c r="BH9" i="9" s="1"/>
  <c r="BG9" i="10"/>
  <c r="BG9" i="9" s="1"/>
  <c r="BF9" i="10"/>
  <c r="BF9" i="9"/>
  <c r="BE9" i="10"/>
  <c r="BE9" i="9" s="1"/>
  <c r="BD9" i="10"/>
  <c r="BD9" i="9" s="1"/>
  <c r="BH8" i="10"/>
  <c r="BH8" i="9" s="1"/>
  <c r="BG8" i="10"/>
  <c r="BG8" i="9" s="1"/>
  <c r="BF8" i="10"/>
  <c r="BF8" i="9"/>
  <c r="BE8" i="10"/>
  <c r="BE8" i="9" s="1"/>
  <c r="BD8" i="10"/>
  <c r="BD8" i="9" s="1"/>
  <c r="BH7" i="10"/>
  <c r="BH7" i="9"/>
  <c r="BG7" i="10"/>
  <c r="BG7" i="9" s="1"/>
  <c r="BF7" i="10"/>
  <c r="BF7" i="9" s="1"/>
  <c r="BE7" i="10"/>
  <c r="BE7" i="9" s="1"/>
  <c r="BD7" i="10"/>
  <c r="BD7" i="9" s="1"/>
  <c r="BH6" i="10"/>
  <c r="BH6" i="9"/>
  <c r="BG6" i="10"/>
  <c r="BG6" i="9" s="1"/>
  <c r="BF6" i="10"/>
  <c r="BF6" i="9" s="1"/>
  <c r="BE6" i="10"/>
  <c r="BE6" i="9"/>
  <c r="BD6" i="10"/>
  <c r="BD6" i="9" s="1"/>
  <c r="BH5" i="10"/>
  <c r="BH5" i="9" s="1"/>
  <c r="BG5" i="10"/>
  <c r="BG5" i="9" s="1"/>
  <c r="BF5" i="10"/>
  <c r="BF5" i="9" s="1"/>
  <c r="BE5" i="10"/>
  <c r="BE5" i="9" s="1"/>
  <c r="BD5" i="10"/>
  <c r="BD5" i="9" s="1"/>
  <c r="BH4" i="10"/>
  <c r="BH4" i="9" s="1"/>
  <c r="BG4" i="10"/>
  <c r="BG4" i="9" s="1"/>
  <c r="BF4" i="10"/>
  <c r="BF4" i="9" s="1"/>
  <c r="BE4" i="10"/>
  <c r="BE4" i="9" s="1"/>
  <c r="BD4" i="10"/>
  <c r="BD4" i="9" s="1"/>
  <c r="BH3" i="10"/>
  <c r="BH3" i="9"/>
  <c r="BG3" i="10"/>
  <c r="BG3" i="9" s="1"/>
  <c r="BF3" i="10"/>
  <c r="BF3" i="9" s="1"/>
  <c r="BE3" i="10"/>
  <c r="BE3" i="9" s="1"/>
  <c r="BD3" i="10"/>
  <c r="BD3" i="9" s="1"/>
  <c r="BH2" i="10"/>
  <c r="BH2" i="9" s="1"/>
  <c r="BG2" i="10"/>
  <c r="BG2" i="9" s="1"/>
  <c r="BF2" i="10"/>
  <c r="BF2" i="9" s="1"/>
  <c r="BE2" i="10"/>
  <c r="BE2" i="9" s="1"/>
  <c r="BD2" i="10"/>
  <c r="BD2" i="9"/>
  <c r="BH1" i="10"/>
  <c r="BH1" i="9" s="1"/>
  <c r="BG1" i="10"/>
  <c r="BG1" i="9" s="1"/>
  <c r="BF1" i="10"/>
  <c r="BF1" i="9"/>
  <c r="BE1" i="10"/>
  <c r="BE1" i="9" s="1"/>
  <c r="BD1" i="10"/>
  <c r="BD1" i="9"/>
  <c r="BC49" i="10"/>
  <c r="BC49" i="9"/>
  <c r="BB49" i="10"/>
  <c r="BB49" i="9" s="1"/>
  <c r="BA49" i="10"/>
  <c r="BA49" i="9" s="1"/>
  <c r="AZ49" i="10"/>
  <c r="AZ49" i="9" s="1"/>
  <c r="AY49" i="10"/>
  <c r="AY49" i="9" s="1"/>
  <c r="BC48" i="10"/>
  <c r="BC48" i="9"/>
  <c r="BB48" i="10"/>
  <c r="BB48" i="9" s="1"/>
  <c r="BA48" i="10"/>
  <c r="BA48" i="9"/>
  <c r="AZ48" i="10"/>
  <c r="AZ48" i="9" s="1"/>
  <c r="AY48" i="10"/>
  <c r="AY48" i="9" s="1"/>
  <c r="BC47" i="10"/>
  <c r="BC47" i="9" s="1"/>
  <c r="BB47" i="10"/>
  <c r="BB47" i="9" s="1"/>
  <c r="BA47" i="10"/>
  <c r="BA47" i="9" s="1"/>
  <c r="AZ47" i="10"/>
  <c r="AZ47" i="9"/>
  <c r="AY47" i="10"/>
  <c r="AY47" i="9" s="1"/>
  <c r="BC46" i="10"/>
  <c r="BC46" i="9" s="1"/>
  <c r="BB46" i="10"/>
  <c r="BB46" i="9" s="1"/>
  <c r="BA46" i="10"/>
  <c r="BA46" i="9" s="1"/>
  <c r="AZ46" i="10"/>
  <c r="AZ46" i="9"/>
  <c r="AY46" i="10"/>
  <c r="AY46" i="9" s="1"/>
  <c r="BC45" i="10"/>
  <c r="BC45" i="9" s="1"/>
  <c r="BB45" i="10"/>
  <c r="BB45" i="9" s="1"/>
  <c r="BA45" i="10"/>
  <c r="BA45" i="9" s="1"/>
  <c r="AZ45" i="10"/>
  <c r="AZ45" i="9" s="1"/>
  <c r="AY45" i="10"/>
  <c r="AY45" i="9" s="1"/>
  <c r="BC44" i="10"/>
  <c r="BC44" i="9" s="1"/>
  <c r="BB44" i="10"/>
  <c r="BB44" i="9" s="1"/>
  <c r="BA44" i="10"/>
  <c r="BA44" i="9" s="1"/>
  <c r="AZ44" i="10"/>
  <c r="AZ44" i="9" s="1"/>
  <c r="AY44" i="10"/>
  <c r="AY44" i="9" s="1"/>
  <c r="BC43" i="10"/>
  <c r="BC43" i="9"/>
  <c r="BB43" i="10"/>
  <c r="BB43" i="9" s="1"/>
  <c r="BA43" i="10"/>
  <c r="BA43" i="9" s="1"/>
  <c r="AZ43" i="10"/>
  <c r="AZ43" i="9" s="1"/>
  <c r="AY43" i="10"/>
  <c r="AY43" i="9" s="1"/>
  <c r="BC42" i="10"/>
  <c r="BC42" i="9" s="1"/>
  <c r="BB42" i="10"/>
  <c r="BB42" i="9" s="1"/>
  <c r="BA42" i="10"/>
  <c r="BA42" i="9" s="1"/>
  <c r="AZ42" i="10"/>
  <c r="AZ42" i="9" s="1"/>
  <c r="AY42" i="10"/>
  <c r="AY42" i="9" s="1"/>
  <c r="BC41" i="10"/>
  <c r="BC41" i="9"/>
  <c r="BB41" i="10"/>
  <c r="BB41" i="9" s="1"/>
  <c r="BA41" i="10"/>
  <c r="BA41" i="9" s="1"/>
  <c r="AZ41" i="10"/>
  <c r="AZ41" i="9" s="1"/>
  <c r="AY41" i="10"/>
  <c r="AY41" i="9" s="1"/>
  <c r="BC40" i="10"/>
  <c r="BC40" i="9" s="1"/>
  <c r="BB40" i="10"/>
  <c r="BB40" i="9" s="1"/>
  <c r="BA40" i="10"/>
  <c r="BA40" i="9" s="1"/>
  <c r="AZ40" i="10"/>
  <c r="AZ40" i="9"/>
  <c r="AY40" i="10"/>
  <c r="AY40" i="9" s="1"/>
  <c r="BC39" i="10"/>
  <c r="BC39" i="9" s="1"/>
  <c r="BB39" i="10"/>
  <c r="BB39" i="9" s="1"/>
  <c r="BA39" i="10"/>
  <c r="BA39" i="9" s="1"/>
  <c r="AZ39" i="10"/>
  <c r="AZ39" i="9"/>
  <c r="AY39" i="10"/>
  <c r="AY39" i="9" s="1"/>
  <c r="BC38" i="10"/>
  <c r="BC38" i="9" s="1"/>
  <c r="BB38" i="10"/>
  <c r="BB38" i="9"/>
  <c r="BA38" i="10"/>
  <c r="BA38" i="9" s="1"/>
  <c r="AZ38" i="10"/>
  <c r="AZ38" i="9"/>
  <c r="AY38" i="10"/>
  <c r="AY38" i="9" s="1"/>
  <c r="BC37" i="10"/>
  <c r="BC37" i="9" s="1"/>
  <c r="BB37" i="10"/>
  <c r="BB37" i="9"/>
  <c r="BA37" i="10"/>
  <c r="BA37" i="9" s="1"/>
  <c r="AZ37" i="10"/>
  <c r="AZ37" i="9" s="1"/>
  <c r="AY37" i="10"/>
  <c r="AY37" i="9"/>
  <c r="BC36" i="10"/>
  <c r="BC36" i="9" s="1"/>
  <c r="BB36" i="10"/>
  <c r="BB36" i="9"/>
  <c r="BA36" i="10"/>
  <c r="BA36" i="9" s="1"/>
  <c r="AZ36" i="10"/>
  <c r="AZ36" i="9" s="1"/>
  <c r="AY36" i="10"/>
  <c r="AY36" i="9" s="1"/>
  <c r="BC35" i="10"/>
  <c r="BC35" i="9" s="1"/>
  <c r="BB35" i="10"/>
  <c r="BB35" i="9"/>
  <c r="BA35" i="10"/>
  <c r="BA35" i="9" s="1"/>
  <c r="AZ35" i="10"/>
  <c r="AZ35" i="9" s="1"/>
  <c r="AY35" i="10"/>
  <c r="AY35" i="9" s="1"/>
  <c r="BC34" i="10"/>
  <c r="BC34" i="9" s="1"/>
  <c r="BB34" i="10"/>
  <c r="BB34" i="9" s="1"/>
  <c r="BA34" i="10"/>
  <c r="BA34" i="9" s="1"/>
  <c r="AZ34" i="10"/>
  <c r="AZ34" i="9" s="1"/>
  <c r="AY34" i="10"/>
  <c r="AY34" i="9" s="1"/>
  <c r="BC33" i="10"/>
  <c r="BC33" i="9" s="1"/>
  <c r="BB33" i="10"/>
  <c r="BB33" i="9" s="1"/>
  <c r="BA33" i="10"/>
  <c r="BA33" i="9" s="1"/>
  <c r="AZ33" i="10"/>
  <c r="AZ33" i="9" s="1"/>
  <c r="AY33" i="10"/>
  <c r="AY33" i="9" s="1"/>
  <c r="BC32" i="10"/>
  <c r="BC32" i="9"/>
  <c r="BB32" i="10"/>
  <c r="BB32" i="9" s="1"/>
  <c r="BA32" i="10"/>
  <c r="BA32" i="9" s="1"/>
  <c r="AZ32" i="10"/>
  <c r="AZ32" i="9" s="1"/>
  <c r="AY32" i="10"/>
  <c r="AY32" i="9" s="1"/>
  <c r="BC31" i="10"/>
  <c r="BC31" i="9" s="1"/>
  <c r="BB31" i="10"/>
  <c r="BB31" i="9" s="1"/>
  <c r="BA31" i="10"/>
  <c r="BA31" i="9" s="1"/>
  <c r="AZ31" i="10"/>
  <c r="AZ31" i="9" s="1"/>
  <c r="AY31" i="10"/>
  <c r="AY31" i="9" s="1"/>
  <c r="BC30" i="10"/>
  <c r="BC30" i="9"/>
  <c r="BB30" i="10"/>
  <c r="BB30" i="9" s="1"/>
  <c r="BA30" i="10"/>
  <c r="BA30" i="9" s="1"/>
  <c r="AZ30" i="10"/>
  <c r="AZ30" i="9" s="1"/>
  <c r="AY30" i="10"/>
  <c r="AY30" i="9" s="1"/>
  <c r="BC29" i="10"/>
  <c r="BC29" i="9" s="1"/>
  <c r="BB29" i="10"/>
  <c r="BB29" i="9"/>
  <c r="BA29" i="10"/>
  <c r="BA29" i="9" s="1"/>
  <c r="AZ29" i="10"/>
  <c r="AZ29" i="9"/>
  <c r="AY29" i="10"/>
  <c r="AY29" i="9" s="1"/>
  <c r="BC28" i="10"/>
  <c r="BC28" i="9" s="1"/>
  <c r="BB28" i="10"/>
  <c r="BB28" i="9" s="1"/>
  <c r="BA28" i="10"/>
  <c r="BA28" i="9" s="1"/>
  <c r="AZ28" i="10"/>
  <c r="AZ28" i="9" s="1"/>
  <c r="AY28" i="10"/>
  <c r="AY28" i="9" s="1"/>
  <c r="BC27" i="10"/>
  <c r="BC27" i="9" s="1"/>
  <c r="BB27" i="10"/>
  <c r="BB27" i="9" s="1"/>
  <c r="BA27" i="10"/>
  <c r="BA27" i="9"/>
  <c r="AZ27" i="10"/>
  <c r="AZ27" i="9" s="1"/>
  <c r="AY27" i="10"/>
  <c r="AY27" i="9" s="1"/>
  <c r="BC26" i="10"/>
  <c r="BC26" i="9" s="1"/>
  <c r="BB26" i="10"/>
  <c r="BB26" i="9" s="1"/>
  <c r="BA26" i="10"/>
  <c r="BA26" i="9" s="1"/>
  <c r="AZ26" i="10"/>
  <c r="AZ26" i="9"/>
  <c r="AY26" i="10"/>
  <c r="AY26" i="9" s="1"/>
  <c r="BC25" i="10"/>
  <c r="BC25" i="9"/>
  <c r="BB25" i="10"/>
  <c r="BB25" i="9" s="1"/>
  <c r="BA25" i="10"/>
  <c r="BA25" i="9" s="1"/>
  <c r="AZ25" i="10"/>
  <c r="AZ25" i="9" s="1"/>
  <c r="AY25" i="10"/>
  <c r="AY25" i="9" s="1"/>
  <c r="BC24" i="10"/>
  <c r="BC24" i="9" s="1"/>
  <c r="BB24" i="10"/>
  <c r="BB24" i="9"/>
  <c r="BA24" i="10"/>
  <c r="BA24" i="9" s="1"/>
  <c r="AZ24" i="10"/>
  <c r="AZ24" i="9"/>
  <c r="AY24" i="10"/>
  <c r="AY24" i="9" s="1"/>
  <c r="BC23" i="10"/>
  <c r="BC23" i="9" s="1"/>
  <c r="BB23" i="10"/>
  <c r="BB23" i="9" s="1"/>
  <c r="BA23" i="10"/>
  <c r="BA23" i="9" s="1"/>
  <c r="AZ23" i="10"/>
  <c r="AZ23" i="9" s="1"/>
  <c r="AY23" i="10"/>
  <c r="AY23" i="9"/>
  <c r="BC22" i="10"/>
  <c r="BC22" i="9" s="1"/>
  <c r="BB22" i="10"/>
  <c r="BB22" i="9"/>
  <c r="BA22" i="10"/>
  <c r="BA22" i="9" s="1"/>
  <c r="AZ22" i="10"/>
  <c r="AZ22" i="9" s="1"/>
  <c r="AY22" i="10"/>
  <c r="AY22" i="9" s="1"/>
  <c r="BC21" i="10"/>
  <c r="BC21" i="9" s="1"/>
  <c r="BB21" i="10"/>
  <c r="BB21" i="9"/>
  <c r="BA21" i="10"/>
  <c r="BA21" i="9" s="1"/>
  <c r="AZ21" i="10"/>
  <c r="AZ21" i="9" s="1"/>
  <c r="AY21" i="10"/>
  <c r="AY21" i="9"/>
  <c r="BC20" i="10"/>
  <c r="BC20" i="9" s="1"/>
  <c r="BB20" i="10"/>
  <c r="BB20" i="9" s="1"/>
  <c r="BA20" i="10"/>
  <c r="BA20" i="9" s="1"/>
  <c r="AZ20" i="10"/>
  <c r="AZ20" i="9" s="1"/>
  <c r="AY20" i="10"/>
  <c r="AY20" i="9"/>
  <c r="BC19" i="10"/>
  <c r="BC19" i="9" s="1"/>
  <c r="BB19" i="10"/>
  <c r="BB19" i="9" s="1"/>
  <c r="BA19" i="10"/>
  <c r="BA19" i="9" s="1"/>
  <c r="AZ19" i="10"/>
  <c r="AZ19" i="9" s="1"/>
  <c r="AY19" i="10"/>
  <c r="AY19" i="9" s="1"/>
  <c r="BC18" i="10"/>
  <c r="BC18" i="9" s="1"/>
  <c r="BB18" i="10"/>
  <c r="BB18" i="9" s="1"/>
  <c r="BA18" i="10"/>
  <c r="BA18" i="9" s="1"/>
  <c r="AZ18" i="10"/>
  <c r="AZ18" i="9"/>
  <c r="AY18" i="10"/>
  <c r="AY18" i="9" s="1"/>
  <c r="BC17" i="10"/>
  <c r="BC17" i="9"/>
  <c r="BB17" i="10"/>
  <c r="BB17" i="9" s="1"/>
  <c r="BA17" i="10"/>
  <c r="BA17" i="9" s="1"/>
  <c r="AZ17" i="10"/>
  <c r="AZ17" i="9"/>
  <c r="AY17" i="10"/>
  <c r="AY17" i="9" s="1"/>
  <c r="BC16" i="10"/>
  <c r="BC16" i="9" s="1"/>
  <c r="BB16" i="10"/>
  <c r="BB16" i="9"/>
  <c r="BA16" i="10"/>
  <c r="BA16" i="9" s="1"/>
  <c r="AZ16" i="10"/>
  <c r="AZ16" i="9"/>
  <c r="AY16" i="10"/>
  <c r="AY16" i="9" s="1"/>
  <c r="BC15" i="10"/>
  <c r="BC15" i="9" s="1"/>
  <c r="BB15" i="10"/>
  <c r="BB15" i="9" s="1"/>
  <c r="BA15" i="10"/>
  <c r="BA15" i="9" s="1"/>
  <c r="AZ15" i="10"/>
  <c r="AZ15" i="9" s="1"/>
  <c r="AY15" i="10"/>
  <c r="AY15" i="9"/>
  <c r="BC14" i="10"/>
  <c r="BC14" i="9" s="1"/>
  <c r="BB14" i="10"/>
  <c r="BB14" i="9"/>
  <c r="BA14" i="10"/>
  <c r="BA14" i="9" s="1"/>
  <c r="AZ14" i="10"/>
  <c r="AZ14" i="9" s="1"/>
  <c r="AY14" i="10"/>
  <c r="AY14" i="9"/>
  <c r="BC13" i="10"/>
  <c r="BC13" i="9" s="1"/>
  <c r="BB13" i="10"/>
  <c r="BB13" i="9"/>
  <c r="BA13" i="10"/>
  <c r="BA13" i="9" s="1"/>
  <c r="AZ13" i="10"/>
  <c r="AZ13" i="9" s="1"/>
  <c r="AY13" i="10"/>
  <c r="AY13" i="9" s="1"/>
  <c r="BC12" i="10"/>
  <c r="BC12" i="9" s="1"/>
  <c r="BB12" i="10"/>
  <c r="BB12" i="9" s="1"/>
  <c r="BA12" i="10"/>
  <c r="BA12" i="9"/>
  <c r="AZ12" i="10"/>
  <c r="AZ12" i="9" s="1"/>
  <c r="AY12" i="10"/>
  <c r="AY12" i="9"/>
  <c r="BC11" i="10"/>
  <c r="BC11" i="9" s="1"/>
  <c r="BB11" i="10"/>
  <c r="BB11" i="9" s="1"/>
  <c r="BA11" i="10"/>
  <c r="BA11" i="9"/>
  <c r="AZ11" i="10"/>
  <c r="AZ11" i="9" s="1"/>
  <c r="AY11" i="10"/>
  <c r="AY11" i="9" s="1"/>
  <c r="BC10" i="10"/>
  <c r="BC10" i="9" s="1"/>
  <c r="BB10" i="10"/>
  <c r="BB10" i="9" s="1"/>
  <c r="BA10" i="10"/>
  <c r="BA10" i="9" s="1"/>
  <c r="AZ10" i="10"/>
  <c r="AZ10" i="9" s="1"/>
  <c r="AY10" i="10"/>
  <c r="AY10" i="9"/>
  <c r="BC9" i="10"/>
  <c r="BC9" i="9" s="1"/>
  <c r="BB9" i="10"/>
  <c r="BB9" i="9" s="1"/>
  <c r="BA9" i="10"/>
  <c r="BA9" i="9" s="1"/>
  <c r="AZ9" i="10"/>
  <c r="AZ9" i="9" s="1"/>
  <c r="AY9" i="10"/>
  <c r="AY9" i="9" s="1"/>
  <c r="BC8" i="10"/>
  <c r="BC8" i="9"/>
  <c r="BB8" i="10"/>
  <c r="BB8" i="9" s="1"/>
  <c r="BA8" i="10"/>
  <c r="BA8" i="9" s="1"/>
  <c r="AZ8" i="10"/>
  <c r="AZ8" i="9" s="1"/>
  <c r="AY8" i="10"/>
  <c r="AY8" i="9" s="1"/>
  <c r="BC7" i="10"/>
  <c r="BC7" i="9"/>
  <c r="BB7" i="10"/>
  <c r="BB7" i="9" s="1"/>
  <c r="BA7" i="10"/>
  <c r="BA7" i="9" s="1"/>
  <c r="AZ7" i="10"/>
  <c r="AZ7" i="9" s="1"/>
  <c r="AY7" i="10"/>
  <c r="AY7" i="9"/>
  <c r="BC6" i="10"/>
  <c r="BC6" i="9" s="1"/>
  <c r="BB6" i="10"/>
  <c r="BB6" i="9" s="1"/>
  <c r="BA6" i="10"/>
  <c r="BA6" i="9" s="1"/>
  <c r="AZ6" i="10"/>
  <c r="AZ6" i="9"/>
  <c r="AY6" i="10"/>
  <c r="AY6" i="9" s="1"/>
  <c r="BC5" i="10"/>
  <c r="BC5" i="9" s="1"/>
  <c r="BB5" i="10"/>
  <c r="BB5" i="9" s="1"/>
  <c r="BA5" i="10"/>
  <c r="BA5" i="9"/>
  <c r="AZ5" i="10"/>
  <c r="AZ5" i="9" s="1"/>
  <c r="AY5" i="10"/>
  <c r="AY5" i="9" s="1"/>
  <c r="BC4" i="10"/>
  <c r="BC4" i="9" s="1"/>
  <c r="BB4" i="10"/>
  <c r="BB4" i="9" s="1"/>
  <c r="BA4" i="10"/>
  <c r="BA4" i="9" s="1"/>
  <c r="AZ4" i="10"/>
  <c r="AZ4" i="9"/>
  <c r="AY4" i="10"/>
  <c r="AY4" i="9" s="1"/>
  <c r="BC3" i="10"/>
  <c r="BC3" i="9"/>
  <c r="BB3" i="10"/>
  <c r="BB3" i="9" s="1"/>
  <c r="BA3" i="10"/>
  <c r="BA3" i="9" s="1"/>
  <c r="AZ3" i="10"/>
  <c r="AZ3" i="9" s="1"/>
  <c r="AY3" i="10"/>
  <c r="AY3" i="9" s="1"/>
  <c r="BC2" i="10"/>
  <c r="BC2" i="9" s="1"/>
  <c r="BB2" i="10"/>
  <c r="BB2" i="9" s="1"/>
  <c r="BA2" i="10"/>
  <c r="BA2" i="9" s="1"/>
  <c r="AZ2" i="10"/>
  <c r="AZ2" i="9" s="1"/>
  <c r="AY2" i="10"/>
  <c r="AY2" i="9" s="1"/>
  <c r="BC1" i="10"/>
  <c r="BC1" i="9" s="1"/>
  <c r="BB1" i="10"/>
  <c r="BB1" i="9" s="1"/>
  <c r="BA1" i="10"/>
  <c r="BA1" i="9" s="1"/>
  <c r="AZ1" i="10"/>
  <c r="AZ1" i="9" s="1"/>
  <c r="AY1" i="10"/>
  <c r="AY1" i="9" s="1"/>
  <c r="AX49" i="10"/>
  <c r="AX49" i="9" s="1"/>
  <c r="AW49" i="10"/>
  <c r="AW49" i="9"/>
  <c r="AV49" i="10"/>
  <c r="AV49" i="9" s="1"/>
  <c r="AU49" i="10"/>
  <c r="AU49" i="9" s="1"/>
  <c r="AT49" i="10"/>
  <c r="AT49" i="9" s="1"/>
  <c r="AX48" i="10"/>
  <c r="AX48" i="9" s="1"/>
  <c r="AW48" i="10"/>
  <c r="AW48" i="9"/>
  <c r="AV48" i="10"/>
  <c r="AV48" i="9" s="1"/>
  <c r="AU48" i="10"/>
  <c r="AU48" i="9" s="1"/>
  <c r="AT48" i="10"/>
  <c r="AT48" i="9" s="1"/>
  <c r="AX47" i="10"/>
  <c r="AX47" i="9" s="1"/>
  <c r="AW47" i="10"/>
  <c r="AW47" i="9" s="1"/>
  <c r="AV47" i="10"/>
  <c r="AV47" i="9" s="1"/>
  <c r="AU47" i="10"/>
  <c r="AU47" i="9" s="1"/>
  <c r="AT47" i="10"/>
  <c r="AT47" i="9" s="1"/>
  <c r="AX46" i="10"/>
  <c r="AX46" i="9" s="1"/>
  <c r="AW46" i="10"/>
  <c r="AW46" i="9" s="1"/>
  <c r="AV46" i="10"/>
  <c r="AV46" i="9" s="1"/>
  <c r="AU46" i="10"/>
  <c r="AU46" i="9" s="1"/>
  <c r="AT46" i="10"/>
  <c r="AT46" i="9" s="1"/>
  <c r="AX45" i="10"/>
  <c r="AX45" i="9" s="1"/>
  <c r="AW45" i="10"/>
  <c r="AW45" i="9" s="1"/>
  <c r="AV45" i="10"/>
  <c r="AV45" i="9" s="1"/>
  <c r="AU45" i="10"/>
  <c r="AU45" i="9"/>
  <c r="AT45" i="10"/>
  <c r="AT45" i="9" s="1"/>
  <c r="AX44" i="10"/>
  <c r="AX44" i="9"/>
  <c r="AW44" i="10"/>
  <c r="AW44" i="9" s="1"/>
  <c r="AV44" i="10"/>
  <c r="AV44" i="9" s="1"/>
  <c r="AU44" i="10"/>
  <c r="AU44" i="9" s="1"/>
  <c r="AT44" i="10"/>
  <c r="AT44" i="9" s="1"/>
  <c r="AX43" i="10"/>
  <c r="AX43" i="9"/>
  <c r="AW43" i="10"/>
  <c r="AW43" i="9" s="1"/>
  <c r="AV43" i="10"/>
  <c r="AV43" i="9" s="1"/>
  <c r="AU43" i="10"/>
  <c r="AU43" i="9"/>
  <c r="AT43" i="10"/>
  <c r="AT43" i="9" s="1"/>
  <c r="AX42" i="10"/>
  <c r="AX42" i="9" s="1"/>
  <c r="AW42" i="10"/>
  <c r="AW42" i="9" s="1"/>
  <c r="AV42" i="10"/>
  <c r="AV42" i="9" s="1"/>
  <c r="AU42" i="10"/>
  <c r="AU42" i="9" s="1"/>
  <c r="AT42" i="10"/>
  <c r="AT42" i="9" s="1"/>
  <c r="AX41" i="10"/>
  <c r="AX41" i="9" s="1"/>
  <c r="AW41" i="10"/>
  <c r="AW41" i="9" s="1"/>
  <c r="AV41" i="10"/>
  <c r="AV41" i="9" s="1"/>
  <c r="AU41" i="10"/>
  <c r="AU41" i="9" s="1"/>
  <c r="AT41" i="10"/>
  <c r="AT41" i="9"/>
  <c r="AX40" i="10"/>
  <c r="AX40" i="9" s="1"/>
  <c r="AW40" i="10"/>
  <c r="AW40" i="9" s="1"/>
  <c r="AV40" i="10"/>
  <c r="AV40" i="9"/>
  <c r="AU40" i="10"/>
  <c r="AU40" i="9" s="1"/>
  <c r="AT40" i="10"/>
  <c r="AT40" i="9" s="1"/>
  <c r="AX39" i="10"/>
  <c r="AX39" i="9" s="1"/>
  <c r="AW39" i="10"/>
  <c r="AW39" i="9" s="1"/>
  <c r="AV39" i="10"/>
  <c r="AV39" i="9"/>
  <c r="AU39" i="10"/>
  <c r="AU39" i="9" s="1"/>
  <c r="AT39" i="10"/>
  <c r="AT39" i="9" s="1"/>
  <c r="AX38" i="10"/>
  <c r="AX38" i="9" s="1"/>
  <c r="AW38" i="10"/>
  <c r="AW38" i="9" s="1"/>
  <c r="AV38" i="10"/>
  <c r="AV38" i="9"/>
  <c r="AU38" i="10"/>
  <c r="AU38" i="9" s="1"/>
  <c r="AT38" i="10"/>
  <c r="AT38" i="9"/>
  <c r="AX37" i="10"/>
  <c r="AX37" i="9" s="1"/>
  <c r="AW37" i="10"/>
  <c r="AW37" i="9" s="1"/>
  <c r="AV37" i="10"/>
  <c r="AV37" i="9" s="1"/>
  <c r="AU37" i="10"/>
  <c r="AU37" i="9" s="1"/>
  <c r="AT37" i="10"/>
  <c r="AT37" i="9" s="1"/>
  <c r="AX36" i="10"/>
  <c r="AX36" i="9" s="1"/>
  <c r="AW36" i="10"/>
  <c r="AW36" i="9" s="1"/>
  <c r="AV36" i="10"/>
  <c r="AV36" i="9" s="1"/>
  <c r="AU36" i="10"/>
  <c r="AU36" i="9" s="1"/>
  <c r="AT36" i="10"/>
  <c r="AT36" i="9" s="1"/>
  <c r="AX35" i="10"/>
  <c r="AX35" i="9" s="1"/>
  <c r="AW35" i="10"/>
  <c r="AW35" i="9"/>
  <c r="AV35" i="10"/>
  <c r="AV35" i="9" s="1"/>
  <c r="AU35" i="10"/>
  <c r="AU35" i="9"/>
  <c r="AT35" i="10"/>
  <c r="AT35" i="9" s="1"/>
  <c r="AX34" i="10"/>
  <c r="AX34" i="9" s="1"/>
  <c r="AW34" i="10"/>
  <c r="AW34" i="9" s="1"/>
  <c r="AV34" i="10"/>
  <c r="AV34" i="9" s="1"/>
  <c r="AU34" i="10"/>
  <c r="AU34" i="9" s="1"/>
  <c r="AT34" i="10"/>
  <c r="AT34" i="9" s="1"/>
  <c r="AX33" i="10"/>
  <c r="AX33" i="9" s="1"/>
  <c r="AW33" i="10"/>
  <c r="AW33" i="9" s="1"/>
  <c r="AV33" i="10"/>
  <c r="AV33" i="9"/>
  <c r="AU33" i="10"/>
  <c r="AU33" i="9" s="1"/>
  <c r="AT33" i="10"/>
  <c r="AT33" i="9" s="1"/>
  <c r="AX32" i="10"/>
  <c r="AX32" i="9" s="1"/>
  <c r="AW32" i="10"/>
  <c r="AW32" i="9" s="1"/>
  <c r="AV32" i="10"/>
  <c r="AV32" i="9" s="1"/>
  <c r="AU32" i="10"/>
  <c r="AU32" i="9" s="1"/>
  <c r="AT32" i="10"/>
  <c r="AT32" i="9" s="1"/>
  <c r="AX31" i="10"/>
  <c r="AX31" i="9" s="1"/>
  <c r="AW31" i="10"/>
  <c r="AW31" i="9"/>
  <c r="AV31" i="10"/>
  <c r="AV31" i="9" s="1"/>
  <c r="AU31" i="10"/>
  <c r="AU31" i="9" s="1"/>
  <c r="AT31" i="10"/>
  <c r="AT31" i="9" s="1"/>
  <c r="AX30" i="10"/>
  <c r="AX30" i="9" s="1"/>
  <c r="AW30" i="10"/>
  <c r="AW30" i="9" s="1"/>
  <c r="AV30" i="10"/>
  <c r="AV30" i="9" s="1"/>
  <c r="AU30" i="10"/>
  <c r="AU30" i="9"/>
  <c r="AT30" i="10"/>
  <c r="AT30" i="9" s="1"/>
  <c r="AX29" i="10"/>
  <c r="AX29" i="9" s="1"/>
  <c r="AW29" i="10"/>
  <c r="AW29" i="9"/>
  <c r="AV29" i="10"/>
  <c r="AV29" i="9" s="1"/>
  <c r="AU29" i="10"/>
  <c r="AU29" i="9" s="1"/>
  <c r="AT29" i="10"/>
  <c r="AT29" i="9" s="1"/>
  <c r="AX28" i="10"/>
  <c r="AX28" i="9" s="1"/>
  <c r="AW28" i="10"/>
  <c r="AW28" i="9"/>
  <c r="AV28" i="10"/>
  <c r="AV28" i="9" s="1"/>
  <c r="AU28" i="10"/>
  <c r="AU28" i="9"/>
  <c r="AT28" i="10"/>
  <c r="AT28" i="9" s="1"/>
  <c r="AX27" i="10"/>
  <c r="AX27" i="9" s="1"/>
  <c r="AW27" i="10"/>
  <c r="AW27" i="9"/>
  <c r="AV27" i="10"/>
  <c r="AV27" i="9" s="1"/>
  <c r="AU27" i="10"/>
  <c r="AU27" i="9" s="1"/>
  <c r="AT27" i="10"/>
  <c r="AT27" i="9"/>
  <c r="AX26" i="10"/>
  <c r="AX26" i="9" s="1"/>
  <c r="AW26" i="10"/>
  <c r="AW26" i="9" s="1"/>
  <c r="AV26" i="10"/>
  <c r="AV26" i="9" s="1"/>
  <c r="AU26" i="10"/>
  <c r="AU26" i="9" s="1"/>
  <c r="AT26" i="10"/>
  <c r="AT26" i="9" s="1"/>
  <c r="AX25" i="10"/>
  <c r="AX25" i="9" s="1"/>
  <c r="AW25" i="10"/>
  <c r="AW25" i="9"/>
  <c r="AV25" i="10"/>
  <c r="AV25" i="9" s="1"/>
  <c r="AU25" i="10"/>
  <c r="AU25" i="9" s="1"/>
  <c r="AT25" i="10"/>
  <c r="AT25" i="9"/>
  <c r="AX24" i="10"/>
  <c r="AX24" i="9" s="1"/>
  <c r="AW24" i="10"/>
  <c r="AW24" i="9" s="1"/>
  <c r="AV24" i="10"/>
  <c r="AV24" i="9" s="1"/>
  <c r="AU24" i="10"/>
  <c r="AU24" i="9" s="1"/>
  <c r="AT24" i="10"/>
  <c r="AT24" i="9" s="1"/>
  <c r="AX23" i="10"/>
  <c r="AX23" i="9" s="1"/>
  <c r="AW23" i="10"/>
  <c r="AW23" i="9" s="1"/>
  <c r="AV23" i="10"/>
  <c r="AV23" i="9" s="1"/>
  <c r="AU23" i="10"/>
  <c r="AU23" i="9" s="1"/>
  <c r="AT23" i="10"/>
  <c r="AT23" i="9" s="1"/>
  <c r="AX22" i="10"/>
  <c r="AX22" i="9" s="1"/>
  <c r="AW22" i="10"/>
  <c r="AW22" i="9" s="1"/>
  <c r="AV22" i="10"/>
  <c r="AV22" i="9" s="1"/>
  <c r="AU22" i="10"/>
  <c r="AU22" i="9" s="1"/>
  <c r="AT22" i="10"/>
  <c r="AT22" i="9"/>
  <c r="AX21" i="10"/>
  <c r="AX21" i="9" s="1"/>
  <c r="AW21" i="10"/>
  <c r="AW21" i="9" s="1"/>
  <c r="AV21" i="10"/>
  <c r="AV21" i="9" s="1"/>
  <c r="AU21" i="10"/>
  <c r="AU21" i="9" s="1"/>
  <c r="AT21" i="10"/>
  <c r="AT21" i="9" s="1"/>
  <c r="AX20" i="10"/>
  <c r="AX20" i="9"/>
  <c r="AW20" i="10"/>
  <c r="AW20" i="9" s="1"/>
  <c r="AV20" i="10"/>
  <c r="AV20" i="9" s="1"/>
  <c r="AU20" i="10"/>
  <c r="AU20" i="9" s="1"/>
  <c r="AT20" i="10"/>
  <c r="AT20" i="9" s="1"/>
  <c r="AX19" i="10"/>
  <c r="AX19" i="9"/>
  <c r="AW19" i="10"/>
  <c r="AW19" i="9" s="1"/>
  <c r="AV19" i="10"/>
  <c r="AV19" i="9" s="1"/>
  <c r="AU19" i="10"/>
  <c r="AU19" i="9" s="1"/>
  <c r="AT19" i="10"/>
  <c r="AT19" i="9" s="1"/>
  <c r="AX18" i="10"/>
  <c r="AX18" i="9"/>
  <c r="AW18" i="10"/>
  <c r="AW18" i="9" s="1"/>
  <c r="AV18" i="10"/>
  <c r="AV18" i="9" s="1"/>
  <c r="AU18" i="10"/>
  <c r="AU18" i="9" s="1"/>
  <c r="AT18" i="10"/>
  <c r="AT18" i="9" s="1"/>
  <c r="AX17" i="10"/>
  <c r="AX17" i="9" s="1"/>
  <c r="AW17" i="10"/>
  <c r="AW17" i="9"/>
  <c r="AV17" i="10"/>
  <c r="AV17" i="9" s="1"/>
  <c r="AU17" i="10"/>
  <c r="AU17" i="9" s="1"/>
  <c r="AT17" i="10"/>
  <c r="AT17" i="9" s="1"/>
  <c r="AX16" i="10"/>
  <c r="AX16" i="9"/>
  <c r="AW16" i="10"/>
  <c r="AW16" i="9" s="1"/>
  <c r="AV16" i="10"/>
  <c r="AV16" i="9" s="1"/>
  <c r="AU16" i="10"/>
  <c r="AU16" i="9" s="1"/>
  <c r="AT16" i="10"/>
  <c r="AT16" i="9" s="1"/>
  <c r="AX15" i="10"/>
  <c r="AX15" i="9" s="1"/>
  <c r="AW15" i="10"/>
  <c r="AW15" i="9" s="1"/>
  <c r="AV15" i="10"/>
  <c r="AV15" i="9" s="1"/>
  <c r="AU15" i="10"/>
  <c r="AU15" i="9"/>
  <c r="AT15" i="10"/>
  <c r="AT15" i="9" s="1"/>
  <c r="AX14" i="10"/>
  <c r="AX14" i="9"/>
  <c r="AW14" i="10"/>
  <c r="AW14" i="9" s="1"/>
  <c r="AV14" i="10"/>
  <c r="AV14" i="9" s="1"/>
  <c r="AU14" i="10"/>
  <c r="AU14" i="9"/>
  <c r="AT14" i="10"/>
  <c r="AT14" i="9" s="1"/>
  <c r="AX13" i="10"/>
  <c r="AX13" i="9" s="1"/>
  <c r="AW13" i="10"/>
  <c r="AW13" i="9"/>
  <c r="AV13" i="10"/>
  <c r="AV13" i="9" s="1"/>
  <c r="AU13" i="10"/>
  <c r="AU13" i="9"/>
  <c r="AT13" i="10"/>
  <c r="AT13" i="9" s="1"/>
  <c r="AX12" i="10"/>
  <c r="AX12" i="9" s="1"/>
  <c r="AW12" i="10"/>
  <c r="AW12" i="9"/>
  <c r="AV12" i="10"/>
  <c r="AV12" i="9" s="1"/>
  <c r="AU12" i="10"/>
  <c r="AU12" i="9" s="1"/>
  <c r="AT12" i="10"/>
  <c r="AT12" i="9" s="1"/>
  <c r="AX11" i="10"/>
  <c r="AX11" i="9"/>
  <c r="AW11" i="10"/>
  <c r="AW11" i="9"/>
  <c r="AV11" i="10"/>
  <c r="AV11" i="9" s="1"/>
  <c r="AU11" i="10"/>
  <c r="AU11" i="9" s="1"/>
  <c r="AT11" i="10"/>
  <c r="AT11" i="9"/>
  <c r="AX10" i="10"/>
  <c r="AX10" i="9" s="1"/>
  <c r="AW10" i="10"/>
  <c r="AW10" i="9" s="1"/>
  <c r="AV10" i="10"/>
  <c r="AV10" i="9"/>
  <c r="AU10" i="10"/>
  <c r="AU10" i="9" s="1"/>
  <c r="AT10" i="10"/>
  <c r="AT10" i="9"/>
  <c r="AX9" i="10"/>
  <c r="AX9" i="9" s="1"/>
  <c r="AW9" i="10"/>
  <c r="AW9" i="9" s="1"/>
  <c r="AV9" i="10"/>
  <c r="AV9" i="9" s="1"/>
  <c r="AU9" i="10"/>
  <c r="AU9" i="9" s="1"/>
  <c r="AT9" i="10"/>
  <c r="AT9" i="9"/>
  <c r="AX8" i="10"/>
  <c r="AX8" i="9" s="1"/>
  <c r="AW8" i="10"/>
  <c r="AW8" i="9" s="1"/>
  <c r="AV8" i="10"/>
  <c r="AV8" i="9" s="1"/>
  <c r="AU8" i="10"/>
  <c r="AU8" i="9" s="1"/>
  <c r="AT8" i="10"/>
  <c r="AT8" i="9" s="1"/>
  <c r="AX7" i="10"/>
  <c r="AX7" i="9"/>
  <c r="AW7" i="10"/>
  <c r="AW7" i="9" s="1"/>
  <c r="AV7" i="10"/>
  <c r="AV7" i="9"/>
  <c r="AU7" i="10"/>
  <c r="AU7" i="9" s="1"/>
  <c r="AT7" i="10"/>
  <c r="AT7" i="9" s="1"/>
  <c r="AX6" i="10"/>
  <c r="AX6" i="9"/>
  <c r="AW6" i="10"/>
  <c r="AW6" i="9" s="1"/>
  <c r="AV6" i="10"/>
  <c r="AV6" i="9"/>
  <c r="AU6" i="10"/>
  <c r="AU6" i="9" s="1"/>
  <c r="AT6" i="10"/>
  <c r="AT6" i="9" s="1"/>
  <c r="AX5" i="10"/>
  <c r="AX5" i="9"/>
  <c r="AW5" i="10"/>
  <c r="AW5" i="9" s="1"/>
  <c r="AV5" i="10"/>
  <c r="AV5" i="9" s="1"/>
  <c r="AU5" i="10"/>
  <c r="AU5" i="9" s="1"/>
  <c r="AT5" i="10"/>
  <c r="AT5" i="9" s="1"/>
  <c r="AX4" i="10"/>
  <c r="AX4" i="9" s="1"/>
  <c r="AW4" i="10"/>
  <c r="AW4" i="9"/>
  <c r="AV4" i="10"/>
  <c r="AV4" i="9"/>
  <c r="AU4" i="10"/>
  <c r="AU4" i="9" s="1"/>
  <c r="AT4" i="10"/>
  <c r="AT4" i="9" s="1"/>
  <c r="AX3" i="10"/>
  <c r="AX3" i="9"/>
  <c r="AW3" i="10"/>
  <c r="AW3" i="9" s="1"/>
  <c r="AV3" i="10"/>
  <c r="AV3" i="9" s="1"/>
  <c r="AU3" i="10"/>
  <c r="AU3" i="9" s="1"/>
  <c r="AT3" i="10"/>
  <c r="AT3" i="9" s="1"/>
  <c r="AX2" i="10"/>
  <c r="AX2" i="9" s="1"/>
  <c r="AW2" i="10"/>
  <c r="AW2" i="9" s="1"/>
  <c r="AV2" i="10"/>
  <c r="AV2" i="9" s="1"/>
  <c r="AU2" i="10"/>
  <c r="AU2" i="9" s="1"/>
  <c r="AT2" i="10"/>
  <c r="AT2" i="9" s="1"/>
  <c r="AX1" i="10"/>
  <c r="AX1" i="9" s="1"/>
  <c r="AW1" i="10"/>
  <c r="AW1" i="9" s="1"/>
  <c r="AV1" i="10"/>
  <c r="AV1" i="9"/>
  <c r="AU1" i="10"/>
  <c r="AU1" i="9" s="1"/>
  <c r="AT1" i="10"/>
  <c r="AT1" i="9" s="1"/>
  <c r="AS49" i="10"/>
  <c r="AS49" i="9"/>
  <c r="AR49" i="10"/>
  <c r="AR49" i="9" s="1"/>
  <c r="AQ49" i="10"/>
  <c r="AQ49" i="9" s="1"/>
  <c r="AP49" i="10"/>
  <c r="AP49" i="9" s="1"/>
  <c r="AO49" i="10"/>
  <c r="AO49" i="9" s="1"/>
  <c r="AS48" i="10"/>
  <c r="AS48" i="9" s="1"/>
  <c r="AR48" i="10"/>
  <c r="AR48" i="9"/>
  <c r="AQ48" i="10"/>
  <c r="AQ48" i="9" s="1"/>
  <c r="AP48" i="10"/>
  <c r="AP48" i="9" s="1"/>
  <c r="AO48" i="10"/>
  <c r="AO48" i="9" s="1"/>
  <c r="AS47" i="10"/>
  <c r="AS47" i="9" s="1"/>
  <c r="AR47" i="10"/>
  <c r="AR47" i="9" s="1"/>
  <c r="AQ47" i="10"/>
  <c r="AQ47" i="9" s="1"/>
  <c r="AP47" i="10"/>
  <c r="AP47" i="9" s="1"/>
  <c r="AO47" i="10"/>
  <c r="AO47" i="9"/>
  <c r="AS46" i="10"/>
  <c r="AS46" i="9" s="1"/>
  <c r="AR46" i="10"/>
  <c r="AR46" i="9" s="1"/>
  <c r="AQ46" i="10"/>
  <c r="AQ46" i="9" s="1"/>
  <c r="AP46" i="10"/>
  <c r="AP46" i="9" s="1"/>
  <c r="AO46" i="10"/>
  <c r="AO46" i="9" s="1"/>
  <c r="AS45" i="10"/>
  <c r="AS45" i="9" s="1"/>
  <c r="AR45" i="10"/>
  <c r="AR45" i="9" s="1"/>
  <c r="AQ45" i="10"/>
  <c r="AQ45" i="9"/>
  <c r="AP45" i="10"/>
  <c r="AP45" i="9" s="1"/>
  <c r="AO45" i="10"/>
  <c r="AO45" i="9" s="1"/>
  <c r="AS44" i="10"/>
  <c r="AS44" i="9" s="1"/>
  <c r="AR44" i="10"/>
  <c r="AR44" i="9" s="1"/>
  <c r="AQ44" i="10"/>
  <c r="AQ44" i="9" s="1"/>
  <c r="AP44" i="10"/>
  <c r="AP44" i="9" s="1"/>
  <c r="AO44" i="10"/>
  <c r="AO44" i="9" s="1"/>
  <c r="AS43" i="10"/>
  <c r="AS43" i="9" s="1"/>
  <c r="AR43" i="10"/>
  <c r="AR43" i="9" s="1"/>
  <c r="AQ43" i="10"/>
  <c r="AQ43" i="9" s="1"/>
  <c r="AP43" i="10"/>
  <c r="AP43" i="9" s="1"/>
  <c r="AO43" i="10"/>
  <c r="AO43" i="9" s="1"/>
  <c r="AS42" i="10"/>
  <c r="AS42" i="9"/>
  <c r="AR42" i="10"/>
  <c r="AR42" i="9" s="1"/>
  <c r="AQ42" i="10"/>
  <c r="AQ42" i="9" s="1"/>
  <c r="AP42" i="10"/>
  <c r="AP42" i="9" s="1"/>
  <c r="AO42" i="10"/>
  <c r="AO42" i="9" s="1"/>
  <c r="AS41" i="10"/>
  <c r="AS41" i="9" s="1"/>
  <c r="AR41" i="10"/>
  <c r="AR41" i="9" s="1"/>
  <c r="AQ41" i="10"/>
  <c r="AQ41" i="9" s="1"/>
  <c r="AP41" i="10"/>
  <c r="AP41" i="9"/>
  <c r="AO41" i="10"/>
  <c r="AO41" i="9" s="1"/>
  <c r="AS40" i="10"/>
  <c r="AS40" i="9" s="1"/>
  <c r="AR40" i="10"/>
  <c r="AR40" i="9" s="1"/>
  <c r="AQ40" i="10"/>
  <c r="AQ40" i="9"/>
  <c r="AP40" i="10"/>
  <c r="AP40" i="9" s="1"/>
  <c r="AO40" i="10"/>
  <c r="AO40" i="9" s="1"/>
  <c r="AS39" i="10"/>
  <c r="AS39" i="9" s="1"/>
  <c r="AR39" i="10"/>
  <c r="AR39" i="9"/>
  <c r="AQ39" i="10"/>
  <c r="AQ39" i="9" s="1"/>
  <c r="AP39" i="10"/>
  <c r="AP39" i="9" s="1"/>
  <c r="AO39" i="10"/>
  <c r="AO39" i="9" s="1"/>
  <c r="AS38" i="10"/>
  <c r="AS38" i="9" s="1"/>
  <c r="AR38" i="10"/>
  <c r="AR38" i="9" s="1"/>
  <c r="AQ38" i="10"/>
  <c r="AQ38" i="9" s="1"/>
  <c r="AP38" i="10"/>
  <c r="AP38" i="9" s="1"/>
  <c r="AO38" i="10"/>
  <c r="AO38" i="9" s="1"/>
  <c r="AS37" i="10"/>
  <c r="AS37" i="9" s="1"/>
  <c r="AR37" i="10"/>
  <c r="AR37" i="9" s="1"/>
  <c r="AQ37" i="10"/>
  <c r="AQ37" i="9" s="1"/>
  <c r="AP37" i="10"/>
  <c r="AP37" i="9"/>
  <c r="AO37" i="10"/>
  <c r="AO37" i="9" s="1"/>
  <c r="AS36" i="10"/>
  <c r="AS36" i="9" s="1"/>
  <c r="AR36" i="10"/>
  <c r="AR36" i="9" s="1"/>
  <c r="AQ36" i="10"/>
  <c r="AQ36" i="9"/>
  <c r="AP36" i="10"/>
  <c r="AP36" i="9" s="1"/>
  <c r="AO36" i="10"/>
  <c r="AO36" i="9" s="1"/>
  <c r="AS35" i="10"/>
  <c r="AS35" i="9" s="1"/>
  <c r="AR35" i="10"/>
  <c r="AR35" i="9" s="1"/>
  <c r="AQ35" i="10"/>
  <c r="AQ35" i="9" s="1"/>
  <c r="AP35" i="10"/>
  <c r="AP35" i="9" s="1"/>
  <c r="AO35" i="10"/>
  <c r="AO35" i="9" s="1"/>
  <c r="AS34" i="10"/>
  <c r="AS34" i="9"/>
  <c r="AR34" i="10"/>
  <c r="AR34" i="9" s="1"/>
  <c r="AQ34" i="10"/>
  <c r="AQ34" i="9" s="1"/>
  <c r="AP34" i="10"/>
  <c r="AP34" i="9" s="1"/>
  <c r="AO34" i="10"/>
  <c r="AO34" i="9" s="1"/>
  <c r="AS33" i="10"/>
  <c r="AS33" i="9"/>
  <c r="AR33" i="10"/>
  <c r="AR33" i="9" s="1"/>
  <c r="AQ33" i="10"/>
  <c r="AQ33" i="9" s="1"/>
  <c r="AP33" i="10"/>
  <c r="AP33" i="9"/>
  <c r="AO33" i="10"/>
  <c r="AO33" i="9" s="1"/>
  <c r="AS32" i="10"/>
  <c r="AS32" i="9" s="1"/>
  <c r="AR32" i="10"/>
  <c r="AR32" i="9" s="1"/>
  <c r="AQ32" i="10"/>
  <c r="AQ32" i="9" s="1"/>
  <c r="AP32" i="10"/>
  <c r="AP32" i="9" s="1"/>
  <c r="AO32" i="10"/>
  <c r="AO32" i="9" s="1"/>
  <c r="AS31" i="10"/>
  <c r="AS31" i="9" s="1"/>
  <c r="AR31" i="10"/>
  <c r="AR31" i="9"/>
  <c r="AQ31" i="10"/>
  <c r="AQ31" i="9" s="1"/>
  <c r="AP31" i="10"/>
  <c r="AP31" i="9"/>
  <c r="AO31" i="10"/>
  <c r="AO31" i="9" s="1"/>
  <c r="AS30" i="10"/>
  <c r="AS30" i="9"/>
  <c r="AR30" i="10"/>
  <c r="AR30" i="9"/>
  <c r="AQ30" i="10"/>
  <c r="AQ30" i="9" s="1"/>
  <c r="AP30" i="10"/>
  <c r="AP30" i="9" s="1"/>
  <c r="AO30" i="10"/>
  <c r="AO30" i="9" s="1"/>
  <c r="AS29" i="10"/>
  <c r="AS29" i="9" s="1"/>
  <c r="AR29" i="10"/>
  <c r="AR29" i="9"/>
  <c r="AQ29" i="10"/>
  <c r="AQ29" i="9" s="1"/>
  <c r="AP29" i="10"/>
  <c r="AP29" i="9" s="1"/>
  <c r="AO29" i="10"/>
  <c r="AO29" i="9"/>
  <c r="AS28" i="10"/>
  <c r="AS28" i="9" s="1"/>
  <c r="AR28" i="10"/>
  <c r="AR28" i="9" s="1"/>
  <c r="AQ28" i="10"/>
  <c r="AQ28" i="9"/>
  <c r="AP28" i="10"/>
  <c r="AP28" i="9" s="1"/>
  <c r="AO28" i="10"/>
  <c r="AO28" i="9" s="1"/>
  <c r="AS27" i="10"/>
  <c r="AS27" i="9" s="1"/>
  <c r="AR27" i="10"/>
  <c r="AR27" i="9" s="1"/>
  <c r="AQ27" i="10"/>
  <c r="AQ27" i="9"/>
  <c r="AP27" i="10"/>
  <c r="AP27" i="9" s="1"/>
  <c r="AO27" i="10"/>
  <c r="AO27" i="9" s="1"/>
  <c r="AS26" i="10"/>
  <c r="AS26" i="9" s="1"/>
  <c r="AR26" i="10"/>
  <c r="AR26" i="9" s="1"/>
  <c r="AQ26" i="10"/>
  <c r="AQ26" i="9" s="1"/>
  <c r="AP26" i="10"/>
  <c r="AP26" i="9" s="1"/>
  <c r="AO26" i="10"/>
  <c r="AO26" i="9" s="1"/>
  <c r="AS25" i="10"/>
  <c r="AS25" i="9"/>
  <c r="AR25" i="10"/>
  <c r="AR25" i="9" s="1"/>
  <c r="AQ25" i="10"/>
  <c r="AQ25" i="9" s="1"/>
  <c r="AP25" i="10"/>
  <c r="AP25" i="9" s="1"/>
  <c r="AO25" i="10"/>
  <c r="AO25" i="9" s="1"/>
  <c r="AS24" i="10"/>
  <c r="AS24" i="9" s="1"/>
  <c r="AR24" i="10"/>
  <c r="AR24" i="9"/>
  <c r="AQ24" i="10"/>
  <c r="AQ24" i="9" s="1"/>
  <c r="AP24" i="10"/>
  <c r="AP24" i="9"/>
  <c r="AO24" i="10"/>
  <c r="AO24" i="9" s="1"/>
  <c r="AS23" i="10"/>
  <c r="AS23" i="9" s="1"/>
  <c r="AR23" i="10"/>
  <c r="AR23" i="9" s="1"/>
  <c r="AQ23" i="10"/>
  <c r="AQ23" i="9" s="1"/>
  <c r="AP23" i="10"/>
  <c r="AP23" i="9" s="1"/>
  <c r="AO23" i="10"/>
  <c r="AO23" i="9"/>
  <c r="AS22" i="10"/>
  <c r="AS22" i="9" s="1"/>
  <c r="AR22" i="10"/>
  <c r="AR22" i="9"/>
  <c r="AQ22" i="10"/>
  <c r="AQ22" i="9" s="1"/>
  <c r="AP22" i="10"/>
  <c r="AP22" i="9" s="1"/>
  <c r="AO22" i="10"/>
  <c r="AO22" i="9" s="1"/>
  <c r="AS21" i="10"/>
  <c r="AS21" i="9" s="1"/>
  <c r="AR21" i="10"/>
  <c r="AR21" i="9" s="1"/>
  <c r="AQ21" i="10"/>
  <c r="AQ21" i="9"/>
  <c r="AP21" i="10"/>
  <c r="AP21" i="9" s="1"/>
  <c r="AO21" i="10"/>
  <c r="AO21" i="9" s="1"/>
  <c r="AS20" i="10"/>
  <c r="AS20" i="9" s="1"/>
  <c r="AR20" i="10"/>
  <c r="AR20" i="9" s="1"/>
  <c r="AQ20" i="10"/>
  <c r="AQ20" i="9"/>
  <c r="AP20" i="10"/>
  <c r="AP20" i="9" s="1"/>
  <c r="AO20" i="10"/>
  <c r="AO20" i="9" s="1"/>
  <c r="AS19" i="10"/>
  <c r="AS19" i="9" s="1"/>
  <c r="AR19" i="10"/>
  <c r="AR19" i="9" s="1"/>
  <c r="AQ19" i="10"/>
  <c r="AQ19" i="9" s="1"/>
  <c r="AP19" i="10"/>
  <c r="AP19" i="9" s="1"/>
  <c r="AO19" i="10"/>
  <c r="AO19" i="9" s="1"/>
  <c r="AS18" i="10"/>
  <c r="AS18" i="9" s="1"/>
  <c r="AR18" i="10"/>
  <c r="AR18" i="9" s="1"/>
  <c r="AQ18" i="10"/>
  <c r="AQ18" i="9" s="1"/>
  <c r="AP18" i="10"/>
  <c r="AP18" i="9" s="1"/>
  <c r="AO18" i="10"/>
  <c r="AO18" i="9"/>
  <c r="AS17" i="10"/>
  <c r="AS17" i="9" s="1"/>
  <c r="AR17" i="10"/>
  <c r="AR17" i="9" s="1"/>
  <c r="AQ17" i="10"/>
  <c r="AQ17" i="9" s="1"/>
  <c r="AP17" i="10"/>
  <c r="AP17" i="9"/>
  <c r="AO17" i="10"/>
  <c r="AO17" i="9" s="1"/>
  <c r="AS16" i="10"/>
  <c r="AS16" i="9" s="1"/>
  <c r="AR16" i="10"/>
  <c r="AR16" i="9" s="1"/>
  <c r="AQ16" i="10"/>
  <c r="AQ16" i="9" s="1"/>
  <c r="AP16" i="10"/>
  <c r="AP16" i="9" s="1"/>
  <c r="AO16" i="10"/>
  <c r="AO16" i="9" s="1"/>
  <c r="AS15" i="10"/>
  <c r="AS15" i="9" s="1"/>
  <c r="AR15" i="10"/>
  <c r="AR15" i="9" s="1"/>
  <c r="AQ15" i="10"/>
  <c r="AQ15" i="9" s="1"/>
  <c r="AP15" i="10"/>
  <c r="AP15" i="9" s="1"/>
  <c r="AO15" i="10"/>
  <c r="AO15" i="9"/>
  <c r="AS14" i="10"/>
  <c r="AS14" i="9" s="1"/>
  <c r="AR14" i="10"/>
  <c r="AR14" i="9" s="1"/>
  <c r="AQ14" i="10"/>
  <c r="AQ14" i="9" s="1"/>
  <c r="AP14" i="10"/>
  <c r="AP14" i="9" s="1"/>
  <c r="AO14" i="10"/>
  <c r="AO14" i="9" s="1"/>
  <c r="AS13" i="10"/>
  <c r="AS13" i="9" s="1"/>
  <c r="AR13" i="10"/>
  <c r="AR13" i="9" s="1"/>
  <c r="AQ13" i="10"/>
  <c r="AQ13" i="9" s="1"/>
  <c r="AP13" i="10"/>
  <c r="AP13" i="9" s="1"/>
  <c r="AO13" i="10"/>
  <c r="AO13" i="9" s="1"/>
  <c r="AS12" i="10"/>
  <c r="AS12" i="9" s="1"/>
  <c r="AR12" i="10"/>
  <c r="AR12" i="9" s="1"/>
  <c r="AQ12" i="10"/>
  <c r="AQ12" i="9" s="1"/>
  <c r="AP12" i="10"/>
  <c r="AP12" i="9" s="1"/>
  <c r="AO12" i="10"/>
  <c r="AO12" i="9" s="1"/>
  <c r="AS11" i="10"/>
  <c r="AS11" i="9" s="1"/>
  <c r="AR11" i="10"/>
  <c r="AR11" i="9"/>
  <c r="AQ11" i="10"/>
  <c r="AQ11" i="9" s="1"/>
  <c r="AP11" i="10"/>
  <c r="AP11" i="9" s="1"/>
  <c r="AO11" i="10"/>
  <c r="AO11" i="9" s="1"/>
  <c r="AS10" i="10"/>
  <c r="AS10" i="9"/>
  <c r="AR10" i="10"/>
  <c r="AR10" i="9" s="1"/>
  <c r="AQ10" i="10"/>
  <c r="AQ10" i="9" s="1"/>
  <c r="AP10" i="10"/>
  <c r="AP10" i="9"/>
  <c r="AO10" i="10"/>
  <c r="AO10" i="9" s="1"/>
  <c r="AS9" i="10"/>
  <c r="AS9" i="9" s="1"/>
  <c r="AR9" i="10"/>
  <c r="AR9" i="9" s="1"/>
  <c r="AQ9" i="10"/>
  <c r="AQ9" i="9" s="1"/>
  <c r="AP9" i="10"/>
  <c r="AP9" i="9" s="1"/>
  <c r="AO9" i="10"/>
  <c r="AO9" i="9" s="1"/>
  <c r="AS8" i="10"/>
  <c r="AS8" i="9"/>
  <c r="AR8" i="10"/>
  <c r="AR8" i="9"/>
  <c r="AQ8" i="10"/>
  <c r="AQ8" i="9"/>
  <c r="AP8" i="10"/>
  <c r="AP8" i="9"/>
  <c r="AO8" i="10"/>
  <c r="AO8" i="9" s="1"/>
  <c r="AS7" i="10"/>
  <c r="AS7" i="9" s="1"/>
  <c r="AR7" i="10"/>
  <c r="AR7" i="9"/>
  <c r="AQ7" i="10"/>
  <c r="AQ7" i="9" s="1"/>
  <c r="AP7" i="10"/>
  <c r="AP7" i="9" s="1"/>
  <c r="AO7" i="10"/>
  <c r="AO7" i="9" s="1"/>
  <c r="AS6" i="10"/>
  <c r="AS6" i="9"/>
  <c r="AR6" i="10"/>
  <c r="AR6" i="9" s="1"/>
  <c r="AQ6" i="10"/>
  <c r="AQ6" i="9" s="1"/>
  <c r="AP6" i="10"/>
  <c r="AP6" i="9" s="1"/>
  <c r="AO6" i="10"/>
  <c r="AO6" i="9" s="1"/>
  <c r="AS5" i="10"/>
  <c r="AS5" i="9" s="1"/>
  <c r="AR5" i="10"/>
  <c r="AR5" i="9"/>
  <c r="AQ5" i="10"/>
  <c r="AQ5" i="9" s="1"/>
  <c r="AP5" i="10"/>
  <c r="AP5" i="9"/>
  <c r="AO5" i="10"/>
  <c r="AO5" i="9" s="1"/>
  <c r="AS4" i="10"/>
  <c r="AS4" i="9" s="1"/>
  <c r="AR4" i="10"/>
  <c r="AR4" i="9" s="1"/>
  <c r="AQ4" i="10"/>
  <c r="AQ4" i="9"/>
  <c r="AP4" i="10"/>
  <c r="AP4" i="9" s="1"/>
  <c r="AO4" i="10"/>
  <c r="AO4" i="9" s="1"/>
  <c r="AS3" i="10"/>
  <c r="AS3" i="9" s="1"/>
  <c r="AR3" i="10"/>
  <c r="AR3" i="9" s="1"/>
  <c r="AQ3" i="10"/>
  <c r="AQ3" i="9" s="1"/>
  <c r="AP3" i="10"/>
  <c r="AP3" i="9" s="1"/>
  <c r="AO3" i="10"/>
  <c r="AO3" i="9" s="1"/>
  <c r="AS2" i="10"/>
  <c r="AS2" i="9"/>
  <c r="AR2" i="10"/>
  <c r="AR2" i="9" s="1"/>
  <c r="AQ2" i="10"/>
  <c r="AQ2" i="9" s="1"/>
  <c r="AP2" i="10"/>
  <c r="AP2" i="9" s="1"/>
  <c r="AO2" i="10"/>
  <c r="AO2" i="9"/>
  <c r="AS1" i="10"/>
  <c r="AS1" i="9"/>
  <c r="AR1" i="10"/>
  <c r="AR1" i="9" s="1"/>
  <c r="AQ1" i="10"/>
  <c r="AQ1" i="9" s="1"/>
  <c r="AP1" i="10"/>
  <c r="AP1" i="9" s="1"/>
  <c r="AO1" i="10"/>
  <c r="AO1" i="9" s="1"/>
  <c r="AN49" i="10"/>
  <c r="AN49" i="9" s="1"/>
  <c r="AM49" i="10"/>
  <c r="AM49" i="9" s="1"/>
  <c r="AL49" i="10"/>
  <c r="AL49" i="9"/>
  <c r="AK49" i="10"/>
  <c r="AK49" i="9" s="1"/>
  <c r="AJ49" i="10"/>
  <c r="AJ49" i="9" s="1"/>
  <c r="AN48" i="10"/>
  <c r="AN48" i="9" s="1"/>
  <c r="AM48" i="10"/>
  <c r="AM48" i="9"/>
  <c r="AL48" i="10"/>
  <c r="AL48" i="9" s="1"/>
  <c r="AK48" i="10"/>
  <c r="AK48" i="9"/>
  <c r="AJ48" i="10"/>
  <c r="AJ48" i="9"/>
  <c r="AN47" i="10"/>
  <c r="AN47" i="9" s="1"/>
  <c r="AM47" i="10"/>
  <c r="AM47" i="9"/>
  <c r="AL47" i="10"/>
  <c r="AL47" i="9" s="1"/>
  <c r="AK47" i="10"/>
  <c r="AK47" i="9" s="1"/>
  <c r="AJ47" i="10"/>
  <c r="AJ47" i="9" s="1"/>
  <c r="AN46" i="10"/>
  <c r="AN46" i="9" s="1"/>
  <c r="AM46" i="10"/>
  <c r="AM46" i="9" s="1"/>
  <c r="AL46" i="10"/>
  <c r="AL46" i="9"/>
  <c r="AK46" i="10"/>
  <c r="AK46" i="9" s="1"/>
  <c r="AJ46" i="10"/>
  <c r="AJ46" i="9" s="1"/>
  <c r="AN45" i="10"/>
  <c r="AN45" i="9" s="1"/>
  <c r="AM45" i="10"/>
  <c r="AM45" i="9" s="1"/>
  <c r="AL45" i="10"/>
  <c r="AL45" i="9" s="1"/>
  <c r="AK45" i="10"/>
  <c r="AK45" i="9" s="1"/>
  <c r="AJ45" i="10"/>
  <c r="AJ45" i="9" s="1"/>
  <c r="AN44" i="10"/>
  <c r="AN44" i="9"/>
  <c r="AM44" i="10"/>
  <c r="AM44" i="9" s="1"/>
  <c r="AL44" i="10"/>
  <c r="AL44" i="9" s="1"/>
  <c r="AK44" i="10"/>
  <c r="AK44" i="9" s="1"/>
  <c r="AJ44" i="10"/>
  <c r="AJ44" i="9" s="1"/>
  <c r="AN43" i="10"/>
  <c r="AN43" i="9"/>
  <c r="AM43" i="10"/>
  <c r="AM43" i="9" s="1"/>
  <c r="AL43" i="10"/>
  <c r="AL43" i="9" s="1"/>
  <c r="AK43" i="10"/>
  <c r="AK43" i="9" s="1"/>
  <c r="AJ43" i="10"/>
  <c r="AJ43" i="9" s="1"/>
  <c r="AN42" i="10"/>
  <c r="AN42" i="9" s="1"/>
  <c r="AM42" i="10"/>
  <c r="AM42" i="9" s="1"/>
  <c r="AL42" i="10"/>
  <c r="AL42" i="9" s="1"/>
  <c r="AK42" i="10"/>
  <c r="AK42" i="9"/>
  <c r="AJ42" i="10"/>
  <c r="AJ42" i="9" s="1"/>
  <c r="AN41" i="10"/>
  <c r="AN41" i="9" s="1"/>
  <c r="AM41" i="10"/>
  <c r="AM41" i="9" s="1"/>
  <c r="AL41" i="10"/>
  <c r="AL41" i="9" s="1"/>
  <c r="AK41" i="10"/>
  <c r="AK41" i="9" s="1"/>
  <c r="AJ41" i="10"/>
  <c r="AJ41" i="9" s="1"/>
  <c r="AN40" i="10"/>
  <c r="AN40" i="9" s="1"/>
  <c r="AM40" i="10"/>
  <c r="AM40" i="9" s="1"/>
  <c r="AL40" i="10"/>
  <c r="AL40" i="9" s="1"/>
  <c r="AK40" i="10"/>
  <c r="AK40" i="9"/>
  <c r="AJ40" i="10"/>
  <c r="AJ40" i="9" s="1"/>
  <c r="AN39" i="10"/>
  <c r="AN39" i="9"/>
  <c r="AM39" i="10"/>
  <c r="AM39" i="9" s="1"/>
  <c r="AL39" i="10"/>
  <c r="AL39" i="9" s="1"/>
  <c r="AK39" i="10"/>
  <c r="AK39" i="9" s="1"/>
  <c r="AJ39" i="10"/>
  <c r="AJ39" i="9" s="1"/>
  <c r="AN38" i="10"/>
  <c r="AN38" i="9" s="1"/>
  <c r="AM38" i="10"/>
  <c r="AM38" i="9" s="1"/>
  <c r="AL38" i="10"/>
  <c r="AL38" i="9"/>
  <c r="AK38" i="10"/>
  <c r="AK38" i="9" s="1"/>
  <c r="AJ38" i="10"/>
  <c r="AJ38" i="9"/>
  <c r="AN37" i="10"/>
  <c r="AN37" i="9"/>
  <c r="AM37" i="10"/>
  <c r="AM37" i="9" s="1"/>
  <c r="AL37" i="10"/>
  <c r="AL37" i="9"/>
  <c r="AK37" i="10"/>
  <c r="AK37" i="9" s="1"/>
  <c r="AJ37" i="10"/>
  <c r="AJ37" i="9"/>
  <c r="AN36" i="10"/>
  <c r="AN36" i="9" s="1"/>
  <c r="AM36" i="10"/>
  <c r="AM36" i="9" s="1"/>
  <c r="AL36" i="10"/>
  <c r="AL36" i="9" s="1"/>
  <c r="AK36" i="10"/>
  <c r="AK36" i="9" s="1"/>
  <c r="AJ36" i="10"/>
  <c r="AJ36" i="9" s="1"/>
  <c r="AN35" i="10"/>
  <c r="AN35" i="9" s="1"/>
  <c r="AM35" i="10"/>
  <c r="AM35" i="9" s="1"/>
  <c r="AL35" i="10"/>
  <c r="AL35" i="9" s="1"/>
  <c r="AK35" i="10"/>
  <c r="AK35" i="9"/>
  <c r="AJ35" i="10"/>
  <c r="AJ35" i="9" s="1"/>
  <c r="AN34" i="10"/>
  <c r="AN34" i="9" s="1"/>
  <c r="AM34" i="10"/>
  <c r="AM34" i="9" s="1"/>
  <c r="AL34" i="10"/>
  <c r="AL34" i="9" s="1"/>
  <c r="AK34" i="10"/>
  <c r="AK34" i="9" s="1"/>
  <c r="AJ34" i="10"/>
  <c r="AJ34" i="9" s="1"/>
  <c r="AN33" i="10"/>
  <c r="AN33" i="9" s="1"/>
  <c r="AM33" i="10"/>
  <c r="AM33" i="9" s="1"/>
  <c r="AL33" i="10"/>
  <c r="AL33" i="9"/>
  <c r="AK33" i="10"/>
  <c r="AK33" i="9" s="1"/>
  <c r="AJ33" i="10"/>
  <c r="AJ33" i="9" s="1"/>
  <c r="AN32" i="10"/>
  <c r="AN32" i="9" s="1"/>
  <c r="AM32" i="10"/>
  <c r="AM32" i="9"/>
  <c r="AL32" i="10"/>
  <c r="AL32" i="9" s="1"/>
  <c r="AK32" i="10"/>
  <c r="AK32" i="9"/>
  <c r="AJ32" i="10"/>
  <c r="AJ32" i="9"/>
  <c r="AN31" i="10"/>
  <c r="AN31" i="9" s="1"/>
  <c r="AM31" i="10"/>
  <c r="AM31" i="9"/>
  <c r="AL31" i="10"/>
  <c r="AL31" i="9" s="1"/>
  <c r="AK31" i="10"/>
  <c r="AK31" i="9" s="1"/>
  <c r="AJ31" i="10"/>
  <c r="AJ31" i="9"/>
  <c r="AN30" i="10"/>
  <c r="AN30" i="9" s="1"/>
  <c r="AM30" i="10"/>
  <c r="AM30" i="9" s="1"/>
  <c r="AL30" i="10"/>
  <c r="AL30" i="9" s="1"/>
  <c r="AK30" i="10"/>
  <c r="AK30" i="9" s="1"/>
  <c r="AJ30" i="10"/>
  <c r="AJ30" i="9" s="1"/>
  <c r="AN29" i="10"/>
  <c r="AN29" i="9" s="1"/>
  <c r="AM29" i="10"/>
  <c r="AM29" i="9"/>
  <c r="AL29" i="10"/>
  <c r="AL29" i="9"/>
  <c r="AK29" i="10"/>
  <c r="AK29" i="9" s="1"/>
  <c r="AJ29" i="10"/>
  <c r="AJ29" i="9" s="1"/>
  <c r="AN28" i="10"/>
  <c r="AN28" i="9" s="1"/>
  <c r="AM28" i="10"/>
  <c r="AM28" i="9" s="1"/>
  <c r="AL28" i="10"/>
  <c r="AL28" i="9" s="1"/>
  <c r="AK28" i="10"/>
  <c r="AK28" i="9"/>
  <c r="AJ28" i="10"/>
  <c r="AJ28" i="9"/>
  <c r="AN27" i="10"/>
  <c r="AN27" i="9"/>
  <c r="AM27" i="10"/>
  <c r="AM27" i="9" s="1"/>
  <c r="AL27" i="10"/>
  <c r="AL27" i="9"/>
  <c r="AK27" i="10"/>
  <c r="AK27" i="9" s="1"/>
  <c r="AJ27" i="10"/>
  <c r="AJ27" i="9" s="1"/>
  <c r="AN26" i="10"/>
  <c r="AN26" i="9" s="1"/>
  <c r="AM26" i="10"/>
  <c r="AM26" i="9"/>
  <c r="AL26" i="10"/>
  <c r="AL26" i="9" s="1"/>
  <c r="AK26" i="10"/>
  <c r="AK26" i="9"/>
  <c r="AJ26" i="10"/>
  <c r="AJ26" i="9" s="1"/>
  <c r="AN25" i="10"/>
  <c r="AN25" i="9"/>
  <c r="AM25" i="10"/>
  <c r="AM25" i="9"/>
  <c r="AL25" i="10"/>
  <c r="AL25" i="9"/>
  <c r="AK25" i="10"/>
  <c r="AK25" i="9"/>
  <c r="AJ25" i="10"/>
  <c r="AJ25" i="9" s="1"/>
  <c r="AN24" i="10"/>
  <c r="AN24" i="9" s="1"/>
  <c r="AM24" i="10"/>
  <c r="AM24" i="9"/>
  <c r="AL24" i="10"/>
  <c r="AL24" i="9" s="1"/>
  <c r="AK24" i="10"/>
  <c r="AK24" i="9" s="1"/>
  <c r="AJ24" i="10"/>
  <c r="AJ24" i="9"/>
  <c r="AN23" i="10"/>
  <c r="AN23" i="9" s="1"/>
  <c r="AM23" i="10"/>
  <c r="AM23" i="9" s="1"/>
  <c r="AL23" i="10"/>
  <c r="AL23" i="9" s="1"/>
  <c r="AK23" i="10"/>
  <c r="AK23" i="9"/>
  <c r="AJ23" i="10"/>
  <c r="AJ23" i="9" s="1"/>
  <c r="AN22" i="10"/>
  <c r="AN22" i="9" s="1"/>
  <c r="AM22" i="10"/>
  <c r="AM22" i="9" s="1"/>
  <c r="AL22" i="10"/>
  <c r="AL22" i="9"/>
  <c r="AK22" i="10"/>
  <c r="AK22" i="9"/>
  <c r="AJ22" i="10"/>
  <c r="AJ22" i="9" s="1"/>
  <c r="AN21" i="10"/>
  <c r="AN21" i="9"/>
  <c r="AM21" i="10"/>
  <c r="AM21" i="9" s="1"/>
  <c r="AL21" i="10"/>
  <c r="AL21" i="9"/>
  <c r="AK21" i="10"/>
  <c r="AK21" i="9" s="1"/>
  <c r="AJ21" i="10"/>
  <c r="AJ21" i="9" s="1"/>
  <c r="AN20" i="10"/>
  <c r="AN20" i="9" s="1"/>
  <c r="AM20" i="10"/>
  <c r="AM20" i="9" s="1"/>
  <c r="AL20" i="10"/>
  <c r="AL20" i="9" s="1"/>
  <c r="AK20" i="10"/>
  <c r="AK20" i="9" s="1"/>
  <c r="AJ20" i="10"/>
  <c r="AJ20" i="9" s="1"/>
  <c r="AN19" i="10"/>
  <c r="AN19" i="9"/>
  <c r="AM19" i="10"/>
  <c r="AM19" i="9" s="1"/>
  <c r="AL19" i="10"/>
  <c r="AL19" i="9" s="1"/>
  <c r="AK19" i="10"/>
  <c r="AK19" i="9" s="1"/>
  <c r="AJ19" i="10"/>
  <c r="AJ19" i="9"/>
  <c r="AN18" i="10"/>
  <c r="AN18" i="9" s="1"/>
  <c r="AM18" i="10"/>
  <c r="AM18" i="9"/>
  <c r="AL18" i="10"/>
  <c r="AL18" i="9" s="1"/>
  <c r="AK18" i="10"/>
  <c r="AK18" i="9" s="1"/>
  <c r="AJ18" i="10"/>
  <c r="AJ18" i="9" s="1"/>
  <c r="AN17" i="10"/>
  <c r="AN17" i="9" s="1"/>
  <c r="AM17" i="10"/>
  <c r="AM17" i="9"/>
  <c r="AL17" i="10"/>
  <c r="AL17" i="9" s="1"/>
  <c r="AK17" i="10"/>
  <c r="AK17" i="9" s="1"/>
  <c r="AJ17" i="10"/>
  <c r="AJ17" i="9" s="1"/>
  <c r="AN16" i="10"/>
  <c r="AN16" i="9" s="1"/>
  <c r="AM16" i="10"/>
  <c r="AM16" i="9"/>
  <c r="AL16" i="10"/>
  <c r="AL16" i="9" s="1"/>
  <c r="AK16" i="10"/>
  <c r="AK16" i="9"/>
  <c r="AJ16" i="10"/>
  <c r="AJ16" i="9" s="1"/>
  <c r="AN15" i="10"/>
  <c r="AN15" i="9" s="1"/>
  <c r="AM15" i="10"/>
  <c r="AM15" i="9"/>
  <c r="AL15" i="10"/>
  <c r="AL15" i="9" s="1"/>
  <c r="AK15" i="10"/>
  <c r="AK15" i="9" s="1"/>
  <c r="AJ15" i="10"/>
  <c r="AJ15" i="9" s="1"/>
  <c r="AN14" i="10"/>
  <c r="AN14" i="9" s="1"/>
  <c r="AM14" i="10"/>
  <c r="AM14" i="9"/>
  <c r="AL14" i="10"/>
  <c r="AL14" i="9" s="1"/>
  <c r="AK14" i="10"/>
  <c r="AK14" i="9"/>
  <c r="AJ14" i="10"/>
  <c r="AJ14" i="9" s="1"/>
  <c r="AN13" i="10"/>
  <c r="AN13" i="9"/>
  <c r="AM13" i="10"/>
  <c r="AM13" i="9"/>
  <c r="AL13" i="10"/>
  <c r="AL13" i="9"/>
  <c r="AK13" i="10"/>
  <c r="AK13" i="9" s="1"/>
  <c r="AJ13" i="10"/>
  <c r="AJ13" i="9" s="1"/>
  <c r="AN12" i="10"/>
  <c r="AN12" i="9"/>
  <c r="AM12" i="10"/>
  <c r="AM12" i="9"/>
  <c r="AL12" i="10"/>
  <c r="AL12" i="9" s="1"/>
  <c r="AK12" i="10"/>
  <c r="AK12" i="9"/>
  <c r="AJ12" i="10"/>
  <c r="AJ12" i="9" s="1"/>
  <c r="AN11" i="10"/>
  <c r="AN11" i="9" s="1"/>
  <c r="AM11" i="10"/>
  <c r="AM11" i="9" s="1"/>
  <c r="AL11" i="10"/>
  <c r="AL11" i="9" s="1"/>
  <c r="AK11" i="10"/>
  <c r="AK11" i="9" s="1"/>
  <c r="AJ11" i="10"/>
  <c r="AJ11" i="9" s="1"/>
  <c r="AN10" i="10"/>
  <c r="AN10" i="9" s="1"/>
  <c r="AM10" i="10"/>
  <c r="AM10" i="9" s="1"/>
  <c r="AL10" i="10"/>
  <c r="AL10" i="9" s="1"/>
  <c r="AK10" i="10"/>
  <c r="AK10" i="9"/>
  <c r="AJ10" i="10"/>
  <c r="AJ10" i="9" s="1"/>
  <c r="AN9" i="10"/>
  <c r="AN9" i="9"/>
  <c r="AM9" i="10"/>
  <c r="AM9" i="9" s="1"/>
  <c r="AL9" i="10"/>
  <c r="AL9" i="9" s="1"/>
  <c r="AK9" i="10"/>
  <c r="AK9" i="9"/>
  <c r="AJ9" i="10"/>
  <c r="AJ9" i="9"/>
  <c r="AN8" i="10"/>
  <c r="AN8" i="9" s="1"/>
  <c r="AM8" i="10"/>
  <c r="AM8" i="9" s="1"/>
  <c r="AL8" i="10"/>
  <c r="AL8" i="9" s="1"/>
  <c r="AK8" i="10"/>
  <c r="AK8" i="9" s="1"/>
  <c r="AJ8" i="10"/>
  <c r="AJ8" i="9" s="1"/>
  <c r="AN7" i="10"/>
  <c r="AN7" i="9" s="1"/>
  <c r="AM7" i="10"/>
  <c r="AM7" i="9" s="1"/>
  <c r="AL7" i="10"/>
  <c r="AL7" i="9" s="1"/>
  <c r="AK7" i="10"/>
  <c r="AK7" i="9" s="1"/>
  <c r="AJ7" i="10"/>
  <c r="AJ7" i="9"/>
  <c r="AN6" i="10"/>
  <c r="AN6" i="9" s="1"/>
  <c r="AM6" i="10"/>
  <c r="AM6" i="9" s="1"/>
  <c r="AL6" i="10"/>
  <c r="AL6" i="9"/>
  <c r="AK6" i="10"/>
  <c r="AK6" i="9" s="1"/>
  <c r="AJ6" i="10"/>
  <c r="AJ6" i="9"/>
  <c r="AN5" i="10"/>
  <c r="AN5" i="9"/>
  <c r="AM5" i="10"/>
  <c r="AM5" i="9" s="1"/>
  <c r="AL5" i="10"/>
  <c r="AL5" i="9"/>
  <c r="AK5" i="10"/>
  <c r="AK5" i="9" s="1"/>
  <c r="AJ5" i="10"/>
  <c r="AJ5" i="9"/>
  <c r="AN4" i="10"/>
  <c r="AN4" i="9" s="1"/>
  <c r="AM4" i="10"/>
  <c r="AM4" i="9" s="1"/>
  <c r="AL4" i="10"/>
  <c r="AL4" i="9"/>
  <c r="AK4" i="10"/>
  <c r="AK4" i="9" s="1"/>
  <c r="AJ4" i="10"/>
  <c r="AJ4" i="9" s="1"/>
  <c r="AN3" i="10"/>
  <c r="AN3" i="9"/>
  <c r="AM3" i="10"/>
  <c r="AM3" i="9" s="1"/>
  <c r="AL3" i="10"/>
  <c r="AL3" i="9" s="1"/>
  <c r="AK3" i="10"/>
  <c r="AK3" i="9" s="1"/>
  <c r="AJ3" i="10"/>
  <c r="AJ3" i="9"/>
  <c r="AN2" i="10"/>
  <c r="AN2" i="9" s="1"/>
  <c r="AM2" i="10"/>
  <c r="AM2" i="9" s="1"/>
  <c r="AL2" i="10"/>
  <c r="AL2" i="9" s="1"/>
  <c r="AK2" i="10"/>
  <c r="AK2" i="9" s="1"/>
  <c r="AJ2" i="10"/>
  <c r="AJ2" i="9" s="1"/>
  <c r="AN1" i="10"/>
  <c r="AN1" i="9" s="1"/>
  <c r="AM1" i="10"/>
  <c r="AM1" i="9" s="1"/>
  <c r="AL1" i="10"/>
  <c r="AL1" i="9" s="1"/>
  <c r="AK1" i="10"/>
  <c r="AK1" i="9" s="1"/>
  <c r="AJ1" i="10"/>
  <c r="AJ1" i="9"/>
  <c r="AI49" i="10"/>
  <c r="AI49" i="9" s="1"/>
  <c r="AH49" i="10"/>
  <c r="AH49" i="9"/>
  <c r="AG49" i="10"/>
  <c r="AG49" i="9" s="1"/>
  <c r="AF49" i="10"/>
  <c r="AF49" i="9"/>
  <c r="AE49" i="10"/>
  <c r="AE49" i="9"/>
  <c r="AI48" i="10"/>
  <c r="AI48" i="9" s="1"/>
  <c r="AH48" i="10"/>
  <c r="AH48" i="9"/>
  <c r="AG48" i="10"/>
  <c r="AG48" i="9" s="1"/>
  <c r="AF48" i="10"/>
  <c r="AF48" i="9"/>
  <c r="AE48" i="10"/>
  <c r="AE48" i="9"/>
  <c r="AI47" i="10"/>
  <c r="AI47" i="9" s="1"/>
  <c r="AH47" i="10"/>
  <c r="AH47" i="9" s="1"/>
  <c r="AG47" i="10"/>
  <c r="AG47" i="9"/>
  <c r="AF47" i="10"/>
  <c r="AF47" i="9" s="1"/>
  <c r="AE47" i="10"/>
  <c r="AE47" i="9" s="1"/>
  <c r="AI46" i="10"/>
  <c r="AI46" i="9" s="1"/>
  <c r="AH46" i="10"/>
  <c r="AH46" i="9"/>
  <c r="AG46" i="10"/>
  <c r="AG46" i="9"/>
  <c r="AF46" i="10"/>
  <c r="AF46" i="9" s="1"/>
  <c r="AE46" i="10"/>
  <c r="AE46" i="9"/>
  <c r="AI45" i="10"/>
  <c r="AI45" i="9"/>
  <c r="AH45" i="10"/>
  <c r="AH45" i="9" s="1"/>
  <c r="AG45" i="10"/>
  <c r="AG45" i="9" s="1"/>
  <c r="AF45" i="10"/>
  <c r="AF45" i="9"/>
  <c r="AE45" i="10"/>
  <c r="AE45" i="9" s="1"/>
  <c r="AI44" i="10"/>
  <c r="AI44" i="9" s="1"/>
  <c r="AH44" i="10"/>
  <c r="AH44" i="9" s="1"/>
  <c r="AG44" i="10"/>
  <c r="AG44" i="9" s="1"/>
  <c r="AF44" i="10"/>
  <c r="AF44" i="9" s="1"/>
  <c r="AE44" i="10"/>
  <c r="AE44" i="9" s="1"/>
  <c r="AI43" i="10"/>
  <c r="AI43" i="9" s="1"/>
  <c r="AH43" i="10"/>
  <c r="AH43" i="9" s="1"/>
  <c r="AG43" i="10"/>
  <c r="AG43" i="9" s="1"/>
  <c r="AF43" i="10"/>
  <c r="AF43" i="9"/>
  <c r="AE43" i="10"/>
  <c r="AE43" i="9" s="1"/>
  <c r="AI42" i="10"/>
  <c r="AI42" i="9"/>
  <c r="AH42" i="10"/>
  <c r="AH42" i="9" s="1"/>
  <c r="AG42" i="10"/>
  <c r="AG42" i="9" s="1"/>
  <c r="AF42" i="10"/>
  <c r="AF42" i="9"/>
  <c r="AE42" i="10"/>
  <c r="AE42" i="9"/>
  <c r="AI41" i="10"/>
  <c r="AI41" i="9"/>
  <c r="AH41" i="10"/>
  <c r="AH41" i="9"/>
  <c r="AG41" i="10"/>
  <c r="AG41" i="9"/>
  <c r="AF41" i="10"/>
  <c r="AF41" i="9"/>
  <c r="AE41" i="10"/>
  <c r="AE41" i="9" s="1"/>
  <c r="AI40" i="10"/>
  <c r="AI40" i="9" s="1"/>
  <c r="AH40" i="10"/>
  <c r="AH40" i="9"/>
  <c r="AG40" i="10"/>
  <c r="AG40" i="9"/>
  <c r="AF40" i="10"/>
  <c r="AF40" i="9"/>
  <c r="AE40" i="10"/>
  <c r="AE40" i="9" s="1"/>
  <c r="AI39" i="10"/>
  <c r="AI39" i="9" s="1"/>
  <c r="AH39" i="10"/>
  <c r="AH39" i="9"/>
  <c r="AG39" i="10"/>
  <c r="AG39" i="9" s="1"/>
  <c r="AF39" i="10"/>
  <c r="AF39" i="9"/>
  <c r="AE39" i="10"/>
  <c r="AE39" i="9" s="1"/>
  <c r="AI38" i="10"/>
  <c r="AI38" i="9" s="1"/>
  <c r="AH38" i="10"/>
  <c r="AH38" i="9" s="1"/>
  <c r="AG38" i="10"/>
  <c r="AG38" i="9" s="1"/>
  <c r="AF38" i="10"/>
  <c r="AF38" i="9"/>
  <c r="AE38" i="10"/>
  <c r="AE38" i="9"/>
  <c r="AI37" i="10"/>
  <c r="AI37" i="9" s="1"/>
  <c r="AH37" i="10"/>
  <c r="AH37" i="9" s="1"/>
  <c r="AG37" i="10"/>
  <c r="AG37" i="9" s="1"/>
  <c r="AF37" i="10"/>
  <c r="AF37" i="9"/>
  <c r="AE37" i="10"/>
  <c r="AE37" i="9"/>
  <c r="AI36" i="10"/>
  <c r="AI36" i="9" s="1"/>
  <c r="AH36" i="10"/>
  <c r="AH36" i="9" s="1"/>
  <c r="AG36" i="10"/>
  <c r="AG36" i="9" s="1"/>
  <c r="AF36" i="10"/>
  <c r="AF36" i="9"/>
  <c r="AE36" i="10"/>
  <c r="AE36" i="9" s="1"/>
  <c r="AI35" i="10"/>
  <c r="AI35" i="9"/>
  <c r="AH35" i="10"/>
  <c r="AH35" i="9" s="1"/>
  <c r="AG35" i="10"/>
  <c r="AG35" i="9" s="1"/>
  <c r="AF35" i="10"/>
  <c r="AF35" i="9" s="1"/>
  <c r="AE35" i="10"/>
  <c r="AE35" i="9" s="1"/>
  <c r="AI34" i="10"/>
  <c r="AI34" i="9"/>
  <c r="AH34" i="10"/>
  <c r="AH34" i="9" s="1"/>
  <c r="AG34" i="10"/>
  <c r="AG34" i="9" s="1"/>
  <c r="AF34" i="10"/>
  <c r="AF34" i="9" s="1"/>
  <c r="AE34" i="10"/>
  <c r="AE34" i="9" s="1"/>
  <c r="AI33" i="10"/>
  <c r="AI33" i="9"/>
  <c r="AH33" i="10"/>
  <c r="AH33" i="9" s="1"/>
  <c r="AG33" i="10"/>
  <c r="AG33" i="9" s="1"/>
  <c r="AF33" i="10"/>
  <c r="AF33" i="9" s="1"/>
  <c r="AE33" i="10"/>
  <c r="AE33" i="9" s="1"/>
  <c r="AI32" i="10"/>
  <c r="AI32" i="9"/>
  <c r="AH32" i="10"/>
  <c r="AH32" i="9"/>
  <c r="AG32" i="10"/>
  <c r="AG32" i="9" s="1"/>
  <c r="AF32" i="10"/>
  <c r="AF32" i="9"/>
  <c r="AE32" i="10"/>
  <c r="AE32" i="9" s="1"/>
  <c r="AI31" i="10"/>
  <c r="AI31" i="9"/>
  <c r="AH31" i="10"/>
  <c r="AH31" i="9"/>
  <c r="AG31" i="10"/>
  <c r="AG31" i="9" s="1"/>
  <c r="AF31" i="10"/>
  <c r="AF31" i="9"/>
  <c r="AE31" i="10"/>
  <c r="AE31" i="9" s="1"/>
  <c r="AI30" i="10"/>
  <c r="AI30" i="9" s="1"/>
  <c r="AH30" i="10"/>
  <c r="AH30" i="9" s="1"/>
  <c r="AG30" i="10"/>
  <c r="AG30" i="9" s="1"/>
  <c r="AF30" i="10"/>
  <c r="AF30" i="9" s="1"/>
  <c r="AE30" i="10"/>
  <c r="AE30" i="9" s="1"/>
  <c r="AI29" i="10"/>
  <c r="AI29" i="9"/>
  <c r="AH29" i="10"/>
  <c r="AH29" i="9" s="1"/>
  <c r="AG29" i="10"/>
  <c r="AG29" i="9"/>
  <c r="AF29" i="10"/>
  <c r="AF29" i="9" s="1"/>
  <c r="AE29" i="10"/>
  <c r="AE29" i="9" s="1"/>
  <c r="AI28" i="10"/>
  <c r="AI28" i="9" s="1"/>
  <c r="AH28" i="10"/>
  <c r="AH28" i="9"/>
  <c r="AG28" i="10"/>
  <c r="AG28" i="9"/>
  <c r="AF28" i="10"/>
  <c r="AF28" i="9" s="1"/>
  <c r="AE28" i="10"/>
  <c r="AE28" i="9" s="1"/>
  <c r="AI27" i="10"/>
  <c r="AI27" i="9" s="1"/>
  <c r="AH27" i="10"/>
  <c r="AH27" i="9" s="1"/>
  <c r="AG27" i="10"/>
  <c r="AG27" i="9" s="1"/>
  <c r="AF27" i="10"/>
  <c r="AF27" i="9" s="1"/>
  <c r="AE27" i="10"/>
  <c r="AE27" i="9" s="1"/>
  <c r="AI26" i="10"/>
  <c r="AI26" i="9" s="1"/>
  <c r="AH26" i="10"/>
  <c r="AH26" i="9" s="1"/>
  <c r="AG26" i="10"/>
  <c r="AG26" i="9" s="1"/>
  <c r="AF26" i="10"/>
  <c r="AF26" i="9" s="1"/>
  <c r="AE26" i="10"/>
  <c r="AE26" i="9"/>
  <c r="AI25" i="10"/>
  <c r="AI25" i="9" s="1"/>
  <c r="AH25" i="10"/>
  <c r="AH25" i="9" s="1"/>
  <c r="AG25" i="10"/>
  <c r="AG25" i="9" s="1"/>
  <c r="AF25" i="10"/>
  <c r="AF25" i="9" s="1"/>
  <c r="AE25" i="10"/>
  <c r="AE25" i="9"/>
  <c r="AI24" i="10"/>
  <c r="AI24" i="9" s="1"/>
  <c r="AH24" i="10"/>
  <c r="AH24" i="9" s="1"/>
  <c r="AG24" i="10"/>
  <c r="AG24" i="9" s="1"/>
  <c r="AF24" i="10"/>
  <c r="AF24" i="9" s="1"/>
  <c r="AE24" i="10"/>
  <c r="AE24" i="9" s="1"/>
  <c r="AI23" i="10"/>
  <c r="AI23" i="9" s="1"/>
  <c r="AH23" i="10"/>
  <c r="AH23" i="9"/>
  <c r="AG23" i="10"/>
  <c r="AG23" i="9" s="1"/>
  <c r="AF23" i="10"/>
  <c r="AF23" i="9" s="1"/>
  <c r="AE23" i="10"/>
  <c r="AE23" i="9" s="1"/>
  <c r="AI22" i="10"/>
  <c r="AI22" i="9" s="1"/>
  <c r="AH22" i="10"/>
  <c r="AH22" i="9"/>
  <c r="AG22" i="10"/>
  <c r="AG22" i="9" s="1"/>
  <c r="AF22" i="10"/>
  <c r="AF22" i="9" s="1"/>
  <c r="AE22" i="10"/>
  <c r="AE22" i="9"/>
  <c r="AI21" i="10"/>
  <c r="AI21" i="9"/>
  <c r="AH21" i="10"/>
  <c r="AH21" i="9"/>
  <c r="AG21" i="10"/>
  <c r="AG21" i="9" s="1"/>
  <c r="AF21" i="10"/>
  <c r="AF21" i="9" s="1"/>
  <c r="AE21" i="10"/>
  <c r="AE21" i="9" s="1"/>
  <c r="AI20" i="10"/>
  <c r="AI20" i="9" s="1"/>
  <c r="AH20" i="10"/>
  <c r="AH20" i="9"/>
  <c r="AG20" i="10"/>
  <c r="AG20" i="9"/>
  <c r="AF20" i="10"/>
  <c r="AF20" i="9" s="1"/>
  <c r="AE20" i="10"/>
  <c r="AE20" i="9" s="1"/>
  <c r="AI19" i="10"/>
  <c r="AI19" i="9"/>
  <c r="AH19" i="10"/>
  <c r="AH19" i="9"/>
  <c r="AG19" i="10"/>
  <c r="AG19" i="9" s="1"/>
  <c r="AF19" i="10"/>
  <c r="AF19" i="9" s="1"/>
  <c r="AE19" i="10"/>
  <c r="AE19" i="9" s="1"/>
  <c r="AI18" i="10"/>
  <c r="AI18" i="9" s="1"/>
  <c r="AH18" i="10"/>
  <c r="AH18" i="9" s="1"/>
  <c r="AG18" i="10"/>
  <c r="AG18" i="9"/>
  <c r="AF18" i="10"/>
  <c r="AF18" i="9" s="1"/>
  <c r="AE18" i="10"/>
  <c r="AE18" i="9" s="1"/>
  <c r="AI17" i="10"/>
  <c r="AI17" i="9" s="1"/>
  <c r="AH17" i="10"/>
  <c r="AH17" i="9" s="1"/>
  <c r="AG17" i="10"/>
  <c r="AG17" i="9"/>
  <c r="AF17" i="10"/>
  <c r="AF17" i="9"/>
  <c r="AE17" i="10"/>
  <c r="AE17" i="9" s="1"/>
  <c r="AI16" i="10"/>
  <c r="AI16" i="9" s="1"/>
  <c r="AH16" i="10"/>
  <c r="AH16" i="9" s="1"/>
  <c r="AG16" i="10"/>
  <c r="AG16" i="9"/>
  <c r="AF16" i="10"/>
  <c r="AF16" i="9"/>
  <c r="AE16" i="10"/>
  <c r="AE16" i="9" s="1"/>
  <c r="AI15" i="10"/>
  <c r="AI15" i="9"/>
  <c r="AH15" i="10"/>
  <c r="AH15" i="9"/>
  <c r="AG15" i="10"/>
  <c r="AG15" i="9" s="1"/>
  <c r="AF15" i="10"/>
  <c r="AF15" i="9" s="1"/>
  <c r="AE15" i="10"/>
  <c r="AE15" i="9"/>
  <c r="AI14" i="10"/>
  <c r="AI14" i="9"/>
  <c r="AH14" i="10"/>
  <c r="AH14" i="9" s="1"/>
  <c r="AG14" i="10"/>
  <c r="AG14" i="9" s="1"/>
  <c r="AF14" i="10"/>
  <c r="AF14" i="9" s="1"/>
  <c r="AE14" i="10"/>
  <c r="AE14" i="9"/>
  <c r="AI13" i="10"/>
  <c r="AI13" i="9" s="1"/>
  <c r="AH13" i="10"/>
  <c r="AH13" i="9" s="1"/>
  <c r="AG13" i="10"/>
  <c r="AG13" i="9" s="1"/>
  <c r="AF13" i="10"/>
  <c r="AF13" i="9" s="1"/>
  <c r="AE13" i="10"/>
  <c r="AE13" i="9"/>
  <c r="AI12" i="10"/>
  <c r="AI12" i="9" s="1"/>
  <c r="AH12" i="10"/>
  <c r="AH12" i="9" s="1"/>
  <c r="AG12" i="10"/>
  <c r="AG12" i="9" s="1"/>
  <c r="AF12" i="10"/>
  <c r="AF12" i="9" s="1"/>
  <c r="AE12" i="10"/>
  <c r="AE12" i="9" s="1"/>
  <c r="AI11" i="10"/>
  <c r="AI11" i="9" s="1"/>
  <c r="AH11" i="10"/>
  <c r="AH11" i="9"/>
  <c r="AG11" i="10"/>
  <c r="AG11" i="9" s="1"/>
  <c r="AF11" i="10"/>
  <c r="AF11" i="9" s="1"/>
  <c r="AE11" i="10"/>
  <c r="AE11" i="9"/>
  <c r="AI10" i="10"/>
  <c r="AI10" i="9"/>
  <c r="AH10" i="10"/>
  <c r="AH10" i="9"/>
  <c r="AG10" i="10"/>
  <c r="AG10" i="9"/>
  <c r="AF10" i="10"/>
  <c r="AF10" i="9" s="1"/>
  <c r="AE10" i="10"/>
  <c r="AE10" i="9" s="1"/>
  <c r="AI9" i="10"/>
  <c r="AI9" i="9" s="1"/>
  <c r="AH9" i="10"/>
  <c r="AH9" i="9" s="1"/>
  <c r="AG9" i="10"/>
  <c r="AG9" i="9" s="1"/>
  <c r="AF9" i="10"/>
  <c r="AF9" i="9" s="1"/>
  <c r="AE9" i="10"/>
  <c r="AE9" i="9" s="1"/>
  <c r="AI8" i="10"/>
  <c r="AI8" i="9" s="1"/>
  <c r="AH8" i="10"/>
  <c r="AH8" i="9"/>
  <c r="AG8" i="10"/>
  <c r="AG8" i="9" s="1"/>
  <c r="AF8" i="10"/>
  <c r="AF8" i="9" s="1"/>
  <c r="AE8" i="10"/>
  <c r="AE8" i="9" s="1"/>
  <c r="AI7" i="10"/>
  <c r="AI7" i="9"/>
  <c r="AH7" i="10"/>
  <c r="AH7" i="9"/>
  <c r="AG7" i="10"/>
  <c r="AG7" i="9" s="1"/>
  <c r="AF7" i="10"/>
  <c r="AF7" i="9" s="1"/>
  <c r="AE7" i="10"/>
  <c r="AE7" i="9" s="1"/>
  <c r="AI6" i="10"/>
  <c r="AI6" i="9" s="1"/>
  <c r="AH6" i="10"/>
  <c r="AH6" i="9" s="1"/>
  <c r="AG6" i="10"/>
  <c r="AG6" i="9" s="1"/>
  <c r="AF6" i="10"/>
  <c r="AF6" i="9"/>
  <c r="AE6" i="10"/>
  <c r="AE6" i="9" s="1"/>
  <c r="AI5" i="10"/>
  <c r="AI5" i="9" s="1"/>
  <c r="AH5" i="10"/>
  <c r="AH5" i="9"/>
  <c r="AG5" i="10"/>
  <c r="AG5" i="9" s="1"/>
  <c r="AF5" i="10"/>
  <c r="AF5" i="9" s="1"/>
  <c r="AE5" i="10"/>
  <c r="AE5" i="9" s="1"/>
  <c r="AI4" i="10"/>
  <c r="AI4" i="9" s="1"/>
  <c r="AH4" i="10"/>
  <c r="AH4" i="9" s="1"/>
  <c r="AG4" i="10"/>
  <c r="AG4" i="9" s="1"/>
  <c r="AF4" i="10"/>
  <c r="AF4" i="9"/>
  <c r="AE4" i="10"/>
  <c r="AE4" i="9" s="1"/>
  <c r="AI3" i="10"/>
  <c r="AI3" i="9" s="1"/>
  <c r="AH3" i="10"/>
  <c r="AH3" i="9" s="1"/>
  <c r="AG3" i="10"/>
  <c r="AG3" i="9" s="1"/>
  <c r="AF3" i="10"/>
  <c r="AF3" i="9" s="1"/>
  <c r="AE3" i="10"/>
  <c r="AE3" i="9"/>
  <c r="AI2" i="10"/>
  <c r="AI2" i="9"/>
  <c r="AH2" i="10"/>
  <c r="AH2" i="9" s="1"/>
  <c r="AG2" i="10"/>
  <c r="AG2" i="9" s="1"/>
  <c r="AF2" i="10"/>
  <c r="AF2" i="9" s="1"/>
  <c r="AE2" i="10"/>
  <c r="AE2" i="9" s="1"/>
  <c r="AI1" i="10"/>
  <c r="AI1" i="9" s="1"/>
  <c r="AH1" i="10"/>
  <c r="AH1" i="9" s="1"/>
  <c r="AG1" i="10"/>
  <c r="AG1" i="9" s="1"/>
  <c r="AF1" i="10"/>
  <c r="AF1" i="9" s="1"/>
  <c r="AE1" i="10"/>
  <c r="AE1" i="9" s="1"/>
  <c r="AD49" i="10"/>
  <c r="AD49" i="9" s="1"/>
  <c r="AC49" i="10"/>
  <c r="AC49" i="9" s="1"/>
  <c r="AB49" i="10"/>
  <c r="AB49" i="9" s="1"/>
  <c r="AA49" i="10"/>
  <c r="AA49" i="9" s="1"/>
  <c r="Z49" i="10"/>
  <c r="Z49" i="9" s="1"/>
  <c r="AD48" i="10"/>
  <c r="AD48" i="9" s="1"/>
  <c r="AC48" i="10"/>
  <c r="AC48" i="9"/>
  <c r="AB48" i="10"/>
  <c r="AB48" i="9"/>
  <c r="AA48" i="10"/>
  <c r="AA48" i="9" s="1"/>
  <c r="Z48" i="10"/>
  <c r="Z48" i="9"/>
  <c r="AD47" i="10"/>
  <c r="AD47" i="9"/>
  <c r="AC47" i="10"/>
  <c r="AC47" i="9"/>
  <c r="AB47" i="10"/>
  <c r="AB47" i="9" s="1"/>
  <c r="AA47" i="10"/>
  <c r="AA47" i="9" s="1"/>
  <c r="Z47" i="10"/>
  <c r="Z47" i="9"/>
  <c r="AD46" i="10"/>
  <c r="AD46" i="9" s="1"/>
  <c r="AC46" i="10"/>
  <c r="AC46" i="9" s="1"/>
  <c r="AB46" i="10"/>
  <c r="AB46" i="9"/>
  <c r="AA46" i="10"/>
  <c r="AA46" i="9" s="1"/>
  <c r="Z46" i="10"/>
  <c r="Z46" i="9"/>
  <c r="AD45" i="10"/>
  <c r="AD45" i="9" s="1"/>
  <c r="AC45" i="10"/>
  <c r="AC45" i="9" s="1"/>
  <c r="AB45" i="10"/>
  <c r="AB45" i="9" s="1"/>
  <c r="AA45" i="10"/>
  <c r="AA45" i="9" s="1"/>
  <c r="Z45" i="10"/>
  <c r="Z45" i="9"/>
  <c r="AD44" i="10"/>
  <c r="AD44" i="9" s="1"/>
  <c r="AC44" i="10"/>
  <c r="AC44" i="9"/>
  <c r="AB44" i="10"/>
  <c r="AB44" i="9" s="1"/>
  <c r="AA44" i="10"/>
  <c r="AA44" i="9" s="1"/>
  <c r="Z44" i="10"/>
  <c r="Z44" i="9" s="1"/>
  <c r="AD43" i="10"/>
  <c r="AD43" i="9"/>
  <c r="AC43" i="10"/>
  <c r="AC43" i="9" s="1"/>
  <c r="AB43" i="10"/>
  <c r="AB43" i="9" s="1"/>
  <c r="AA43" i="10"/>
  <c r="AA43" i="9" s="1"/>
  <c r="Z43" i="10"/>
  <c r="Z43" i="9" s="1"/>
  <c r="AD42" i="10"/>
  <c r="AD42" i="9" s="1"/>
  <c r="AC42" i="10"/>
  <c r="AC42" i="9" s="1"/>
  <c r="AB42" i="10"/>
  <c r="AB42" i="9" s="1"/>
  <c r="AA42" i="10"/>
  <c r="AA42" i="9"/>
  <c r="Z42" i="10"/>
  <c r="Z42" i="9" s="1"/>
  <c r="AD41" i="10"/>
  <c r="AD41" i="9" s="1"/>
  <c r="AC41" i="10"/>
  <c r="AC41" i="9" s="1"/>
  <c r="AB41" i="10"/>
  <c r="AB41" i="9" s="1"/>
  <c r="AA41" i="10"/>
  <c r="AA41" i="9" s="1"/>
  <c r="Z41" i="10"/>
  <c r="Z41" i="9" s="1"/>
  <c r="AD40" i="10"/>
  <c r="AD40" i="9"/>
  <c r="AC40" i="10"/>
  <c r="AC40" i="9"/>
  <c r="AB40" i="10"/>
  <c r="AB40" i="9" s="1"/>
  <c r="AA40" i="10"/>
  <c r="AA40" i="9" s="1"/>
  <c r="Z40" i="10"/>
  <c r="Z40" i="9" s="1"/>
  <c r="AD39" i="10"/>
  <c r="AD39" i="9"/>
  <c r="AC39" i="10"/>
  <c r="AC39" i="9" s="1"/>
  <c r="AB39" i="10"/>
  <c r="AB39" i="9" s="1"/>
  <c r="AA39" i="10"/>
  <c r="AA39" i="9"/>
  <c r="Z39" i="10"/>
  <c r="Z39" i="9"/>
  <c r="AD38" i="10"/>
  <c r="AD38" i="9" s="1"/>
  <c r="AC38" i="10"/>
  <c r="AC38" i="9" s="1"/>
  <c r="AB38" i="10"/>
  <c r="AB38" i="9"/>
  <c r="AA38" i="10"/>
  <c r="AA38" i="9"/>
  <c r="Z38" i="10"/>
  <c r="Z38" i="9" s="1"/>
  <c r="AD37" i="10"/>
  <c r="AD37" i="9" s="1"/>
  <c r="AC37" i="10"/>
  <c r="AC37" i="9" s="1"/>
  <c r="AB37" i="10"/>
  <c r="AB37" i="9" s="1"/>
  <c r="AA37" i="10"/>
  <c r="AA37" i="9" s="1"/>
  <c r="Z37" i="10"/>
  <c r="Z37" i="9" s="1"/>
  <c r="AD36" i="10"/>
  <c r="AD36" i="9" s="1"/>
  <c r="AC36" i="10"/>
  <c r="AC36" i="9" s="1"/>
  <c r="AB36" i="10"/>
  <c r="AB36" i="9" s="1"/>
  <c r="AA36" i="10"/>
  <c r="AA36" i="9" s="1"/>
  <c r="Z36" i="10"/>
  <c r="Z36" i="9" s="1"/>
  <c r="AD35" i="10"/>
  <c r="AD35" i="9" s="1"/>
  <c r="AC35" i="10"/>
  <c r="AC35" i="9" s="1"/>
  <c r="AB35" i="10"/>
  <c r="AB35" i="9"/>
  <c r="AA35" i="10"/>
  <c r="AA35" i="9" s="1"/>
  <c r="Z35" i="10"/>
  <c r="Z35" i="9" s="1"/>
  <c r="AD34" i="10"/>
  <c r="AD34" i="9" s="1"/>
  <c r="AC34" i="10"/>
  <c r="AC34" i="9" s="1"/>
  <c r="AB34" i="10"/>
  <c r="AB34" i="9"/>
  <c r="AA34" i="10"/>
  <c r="AA34" i="9"/>
  <c r="Z34" i="10"/>
  <c r="Z34" i="9"/>
  <c r="AD33" i="10"/>
  <c r="AD33" i="9" s="1"/>
  <c r="AC33" i="10"/>
  <c r="AC33" i="9" s="1"/>
  <c r="AB33" i="10"/>
  <c r="AB33" i="9" s="1"/>
  <c r="AA33" i="10"/>
  <c r="AA33" i="9" s="1"/>
  <c r="Z33" i="10"/>
  <c r="Z33" i="9" s="1"/>
  <c r="AD32" i="10"/>
  <c r="AD32" i="9" s="1"/>
  <c r="AC32" i="10"/>
  <c r="AC32" i="9"/>
  <c r="AB32" i="10"/>
  <c r="AB32" i="9" s="1"/>
  <c r="AA32" i="10"/>
  <c r="AA32" i="9"/>
  <c r="Z32" i="10"/>
  <c r="Z32" i="9" s="1"/>
  <c r="AD31" i="10"/>
  <c r="AD31" i="9" s="1"/>
  <c r="AC31" i="10"/>
  <c r="AC31" i="9"/>
  <c r="AB31" i="10"/>
  <c r="AB31" i="9" s="1"/>
  <c r="AA31" i="10"/>
  <c r="AA31" i="9" s="1"/>
  <c r="Z31" i="10"/>
  <c r="Z31" i="9" s="1"/>
  <c r="AD30" i="10"/>
  <c r="AD30" i="9" s="1"/>
  <c r="AC30" i="10"/>
  <c r="AC30" i="9" s="1"/>
  <c r="AB30" i="10"/>
  <c r="AB30" i="9" s="1"/>
  <c r="AA30" i="10"/>
  <c r="AA30" i="9" s="1"/>
  <c r="Z30" i="10"/>
  <c r="Z30" i="9" s="1"/>
  <c r="AD29" i="10"/>
  <c r="AD29" i="9" s="1"/>
  <c r="AC29" i="10"/>
  <c r="AC29" i="9"/>
  <c r="AB29" i="10"/>
  <c r="AB29" i="9"/>
  <c r="AA29" i="10"/>
  <c r="AA29" i="9" s="1"/>
  <c r="Z29" i="10"/>
  <c r="Z29" i="9"/>
  <c r="AD28" i="10"/>
  <c r="AD28" i="9" s="1"/>
  <c r="AC28" i="10"/>
  <c r="AC28" i="9"/>
  <c r="AB28" i="10"/>
  <c r="AB28" i="9" s="1"/>
  <c r="AA28" i="10"/>
  <c r="AA28" i="9" s="1"/>
  <c r="Z28" i="10"/>
  <c r="Z28" i="9" s="1"/>
  <c r="AD27" i="10"/>
  <c r="AD27" i="9"/>
  <c r="AC27" i="10"/>
  <c r="AC27" i="9" s="1"/>
  <c r="AB27" i="10"/>
  <c r="AB27" i="9" s="1"/>
  <c r="AA27" i="10"/>
  <c r="AA27" i="9" s="1"/>
  <c r="Z27" i="10"/>
  <c r="Z27" i="9" s="1"/>
  <c r="AD26" i="10"/>
  <c r="AD26" i="9" s="1"/>
  <c r="AC26" i="10"/>
  <c r="AC26" i="9" s="1"/>
  <c r="AB26" i="10"/>
  <c r="AB26" i="9"/>
  <c r="AA26" i="10"/>
  <c r="AA26" i="9"/>
  <c r="Z26" i="10"/>
  <c r="Z26" i="9" s="1"/>
  <c r="AD25" i="10"/>
  <c r="AD25" i="9" s="1"/>
  <c r="AC25" i="10"/>
  <c r="AC25" i="9"/>
  <c r="AB25" i="10"/>
  <c r="AB25" i="9" s="1"/>
  <c r="AA25" i="10"/>
  <c r="AA25" i="9" s="1"/>
  <c r="Z25" i="10"/>
  <c r="Z25" i="9" s="1"/>
  <c r="AD24" i="10"/>
  <c r="AD24" i="9" s="1"/>
  <c r="AC24" i="10"/>
  <c r="AC24" i="9"/>
  <c r="AB24" i="10"/>
  <c r="AB24" i="9" s="1"/>
  <c r="AA24" i="10"/>
  <c r="AA24" i="9" s="1"/>
  <c r="Z24" i="10"/>
  <c r="Z24" i="9" s="1"/>
  <c r="AD23" i="10"/>
  <c r="AD23" i="9"/>
  <c r="AC23" i="10"/>
  <c r="AC23" i="9"/>
  <c r="AB23" i="10"/>
  <c r="AB23" i="9" s="1"/>
  <c r="AA23" i="10"/>
  <c r="AA23" i="9" s="1"/>
  <c r="Z23" i="10"/>
  <c r="Z23" i="9"/>
  <c r="AD22" i="10"/>
  <c r="AD22" i="9"/>
  <c r="AC22" i="10"/>
  <c r="AC22" i="9" s="1"/>
  <c r="AB22" i="10"/>
  <c r="AB22" i="9" s="1"/>
  <c r="AA22" i="10"/>
  <c r="AA22" i="9"/>
  <c r="Z22" i="10"/>
  <c r="Z22" i="9" s="1"/>
  <c r="AD21" i="10"/>
  <c r="AD21" i="9" s="1"/>
  <c r="AC21" i="10"/>
  <c r="AC21" i="9"/>
  <c r="AB21" i="10"/>
  <c r="AB21" i="9"/>
  <c r="AA21" i="10"/>
  <c r="AA21" i="9" s="1"/>
  <c r="Z21" i="10"/>
  <c r="Z21" i="9" s="1"/>
  <c r="AD20" i="10"/>
  <c r="AD20" i="9"/>
  <c r="AC20" i="10"/>
  <c r="AC20" i="9" s="1"/>
  <c r="AB20" i="10"/>
  <c r="AB20" i="9"/>
  <c r="AA20" i="10"/>
  <c r="AA20" i="9" s="1"/>
  <c r="Z20" i="10"/>
  <c r="Z20" i="9" s="1"/>
  <c r="AD19" i="10"/>
  <c r="AD19" i="9" s="1"/>
  <c r="AC19" i="10"/>
  <c r="AC19" i="9" s="1"/>
  <c r="AB19" i="10"/>
  <c r="AB19" i="9"/>
  <c r="AA19" i="10"/>
  <c r="AA19" i="9" s="1"/>
  <c r="Z19" i="10"/>
  <c r="Z19" i="9" s="1"/>
  <c r="AD18" i="10"/>
  <c r="AD18" i="9"/>
  <c r="AC18" i="10"/>
  <c r="AC18" i="9" s="1"/>
  <c r="AB18" i="10"/>
  <c r="AB18" i="9" s="1"/>
  <c r="AA18" i="10"/>
  <c r="AA18" i="9"/>
  <c r="Z18" i="10"/>
  <c r="Z18" i="9" s="1"/>
  <c r="AD17" i="10"/>
  <c r="AD17" i="9" s="1"/>
  <c r="AC17" i="10"/>
  <c r="AC17" i="9" s="1"/>
  <c r="AB17" i="10"/>
  <c r="AB17" i="9" s="1"/>
  <c r="AA17" i="10"/>
  <c r="AA17" i="9" s="1"/>
  <c r="Z17" i="10"/>
  <c r="Z17" i="9" s="1"/>
  <c r="AD16" i="10"/>
  <c r="AD16" i="9"/>
  <c r="AC16" i="10"/>
  <c r="AC16" i="9"/>
  <c r="AB16" i="10"/>
  <c r="AB16" i="9" s="1"/>
  <c r="AA16" i="10"/>
  <c r="AA16" i="9" s="1"/>
  <c r="Z16" i="10"/>
  <c r="Z16" i="9"/>
  <c r="AD15" i="10"/>
  <c r="AD15" i="9" s="1"/>
  <c r="AC15" i="10"/>
  <c r="AC15" i="9" s="1"/>
  <c r="AB15" i="10"/>
  <c r="AB15" i="9" s="1"/>
  <c r="AA15" i="10"/>
  <c r="AA15" i="9"/>
  <c r="Z15" i="10"/>
  <c r="Z15" i="9"/>
  <c r="AD14" i="10"/>
  <c r="AD14" i="9"/>
  <c r="AC14" i="10"/>
  <c r="AC14" i="9" s="1"/>
  <c r="AB14" i="10"/>
  <c r="AB14" i="9" s="1"/>
  <c r="AA14" i="10"/>
  <c r="AA14" i="9" s="1"/>
  <c r="Z14" i="10"/>
  <c r="Z14" i="9" s="1"/>
  <c r="AD13" i="10"/>
  <c r="AD13" i="9" s="1"/>
  <c r="AC13" i="10"/>
  <c r="AC13" i="9"/>
  <c r="AB13" i="10"/>
  <c r="AB13" i="9"/>
  <c r="AA13" i="10"/>
  <c r="AA13" i="9" s="1"/>
  <c r="Z13" i="10"/>
  <c r="Z13" i="9" s="1"/>
  <c r="AD12" i="10"/>
  <c r="AD12" i="9"/>
  <c r="AC12" i="10"/>
  <c r="AC12" i="9"/>
  <c r="AB12" i="10"/>
  <c r="AB12" i="9" s="1"/>
  <c r="AA12" i="10"/>
  <c r="AA12" i="9" s="1"/>
  <c r="Z12" i="10"/>
  <c r="Z12" i="9" s="1"/>
  <c r="AD11" i="10"/>
  <c r="AD11" i="9" s="1"/>
  <c r="AC11" i="10"/>
  <c r="AC11" i="9" s="1"/>
  <c r="AB11" i="10"/>
  <c r="AB11" i="9" s="1"/>
  <c r="AA11" i="10"/>
  <c r="AA11" i="9" s="1"/>
  <c r="Z11" i="10"/>
  <c r="Z11" i="9" s="1"/>
  <c r="AD10" i="10"/>
  <c r="AD10" i="9"/>
  <c r="AC10" i="10"/>
  <c r="AC10" i="9" s="1"/>
  <c r="AB10" i="10"/>
  <c r="AB10" i="9"/>
  <c r="AA10" i="10"/>
  <c r="AA10" i="9"/>
  <c r="Z10" i="10"/>
  <c r="Z10" i="9"/>
  <c r="AD9" i="10"/>
  <c r="AD9" i="9"/>
  <c r="AC9" i="10"/>
  <c r="AC9" i="9" s="1"/>
  <c r="AB9" i="10"/>
  <c r="AB9" i="9" s="1"/>
  <c r="AA9" i="10"/>
  <c r="AA9" i="9"/>
  <c r="Z9" i="10"/>
  <c r="Z9" i="9" s="1"/>
  <c r="AD8" i="10"/>
  <c r="AD8" i="9"/>
  <c r="AC8" i="10"/>
  <c r="AC8" i="9"/>
  <c r="AB8" i="10"/>
  <c r="AB8" i="9" s="1"/>
  <c r="AA8" i="10"/>
  <c r="AA8" i="9"/>
  <c r="Z8" i="10"/>
  <c r="Z8" i="9" s="1"/>
  <c r="AD7" i="10"/>
  <c r="AD7" i="9" s="1"/>
  <c r="AC7" i="10"/>
  <c r="AC7" i="9" s="1"/>
  <c r="AB7" i="10"/>
  <c r="AB7" i="9" s="1"/>
  <c r="AA7" i="10"/>
  <c r="AA7" i="9" s="1"/>
  <c r="Z7" i="10"/>
  <c r="Z7" i="9"/>
  <c r="AD6" i="10"/>
  <c r="AD6" i="9" s="1"/>
  <c r="AC6" i="10"/>
  <c r="AC6" i="9" s="1"/>
  <c r="AB6" i="10"/>
  <c r="AB6" i="9" s="1"/>
  <c r="AA6" i="10"/>
  <c r="AA6" i="9" s="1"/>
  <c r="Z6" i="10"/>
  <c r="Z6" i="9"/>
  <c r="AD5" i="10"/>
  <c r="AD5" i="9" s="1"/>
  <c r="AC5" i="10"/>
  <c r="AC5" i="9" s="1"/>
  <c r="AB5" i="10"/>
  <c r="AB5" i="9"/>
  <c r="AA5" i="10"/>
  <c r="AA5" i="9" s="1"/>
  <c r="Z5" i="10"/>
  <c r="Z5" i="9"/>
  <c r="AD4" i="10"/>
  <c r="AD4" i="9" s="1"/>
  <c r="AC4" i="10"/>
  <c r="AC4" i="9" s="1"/>
  <c r="AB4" i="10"/>
  <c r="AB4" i="9" s="1"/>
  <c r="AA4" i="10"/>
  <c r="AA4" i="9" s="1"/>
  <c r="Z4" i="10"/>
  <c r="Z4" i="9"/>
  <c r="AD3" i="10"/>
  <c r="AD3" i="9"/>
  <c r="AC3" i="10"/>
  <c r="AC3" i="9" s="1"/>
  <c r="AB3" i="10"/>
  <c r="AB3" i="9" s="1"/>
  <c r="AA3" i="10"/>
  <c r="AA3" i="9"/>
  <c r="Z3" i="10"/>
  <c r="Z3" i="9" s="1"/>
  <c r="AD2" i="10"/>
  <c r="AD2" i="9" s="1"/>
  <c r="AC2" i="10"/>
  <c r="AC2" i="9" s="1"/>
  <c r="AB2" i="10"/>
  <c r="AB2" i="9" s="1"/>
  <c r="AA2" i="10"/>
  <c r="AA2" i="9" s="1"/>
  <c r="Z2" i="10"/>
  <c r="Z2" i="9"/>
  <c r="AD1" i="10"/>
  <c r="AD1" i="9" s="1"/>
  <c r="AC1" i="10"/>
  <c r="AC1" i="9" s="1"/>
  <c r="AB1" i="10"/>
  <c r="AB1" i="9" s="1"/>
  <c r="AA1" i="10"/>
  <c r="AA1" i="9"/>
  <c r="Z1" i="10"/>
  <c r="Z1" i="9" s="1"/>
  <c r="Y49" i="10"/>
  <c r="Y49" i="9"/>
  <c r="X49" i="10"/>
  <c r="X49" i="9"/>
  <c r="W49" i="10"/>
  <c r="W49" i="9" s="1"/>
  <c r="V49" i="10"/>
  <c r="V49" i="9" s="1"/>
  <c r="U49" i="10"/>
  <c r="U49" i="9" s="1"/>
  <c r="Y48" i="10"/>
  <c r="Y48" i="9" s="1"/>
  <c r="X48" i="10"/>
  <c r="X48" i="9" s="1"/>
  <c r="W48" i="10"/>
  <c r="W48" i="9" s="1"/>
  <c r="V48" i="10"/>
  <c r="V48" i="9" s="1"/>
  <c r="U48" i="10"/>
  <c r="U48" i="9"/>
  <c r="Y47" i="10"/>
  <c r="Y47" i="9" s="1"/>
  <c r="X47" i="10"/>
  <c r="X47" i="9" s="1"/>
  <c r="W47" i="10"/>
  <c r="W47" i="9" s="1"/>
  <c r="V47" i="10"/>
  <c r="V47" i="9"/>
  <c r="U47" i="10"/>
  <c r="U47" i="9"/>
  <c r="Y46" i="10"/>
  <c r="Y46" i="9"/>
  <c r="X46" i="10"/>
  <c r="X46" i="9" s="1"/>
  <c r="W46" i="10"/>
  <c r="W46" i="9" s="1"/>
  <c r="V46" i="10"/>
  <c r="V46" i="9"/>
  <c r="U46" i="10"/>
  <c r="U46" i="9"/>
  <c r="Y45" i="10"/>
  <c r="Y45" i="9" s="1"/>
  <c r="X45" i="10"/>
  <c r="X45" i="9" s="1"/>
  <c r="W45" i="10"/>
  <c r="W45" i="9" s="1"/>
  <c r="V45" i="10"/>
  <c r="V45" i="9" s="1"/>
  <c r="U45" i="10"/>
  <c r="U45" i="9" s="1"/>
  <c r="Y44" i="10"/>
  <c r="Y44" i="9" s="1"/>
  <c r="X44" i="10"/>
  <c r="X44" i="9" s="1"/>
  <c r="W44" i="10"/>
  <c r="W44" i="9"/>
  <c r="V44" i="10"/>
  <c r="V44" i="9" s="1"/>
  <c r="U44" i="10"/>
  <c r="U44" i="9"/>
  <c r="Y43" i="10"/>
  <c r="Y43" i="9" s="1"/>
  <c r="X43" i="10"/>
  <c r="X43" i="9"/>
  <c r="W43" i="10"/>
  <c r="W43" i="9" s="1"/>
  <c r="V43" i="10"/>
  <c r="V43" i="9" s="1"/>
  <c r="U43" i="10"/>
  <c r="U43" i="9" s="1"/>
  <c r="Y42" i="10"/>
  <c r="Y42" i="9" s="1"/>
  <c r="X42" i="10"/>
  <c r="X42" i="9" s="1"/>
  <c r="W42" i="10"/>
  <c r="W42" i="9"/>
  <c r="V42" i="10"/>
  <c r="V42" i="9" s="1"/>
  <c r="U42" i="10"/>
  <c r="U42" i="9" s="1"/>
  <c r="Y41" i="10"/>
  <c r="Y41" i="9" s="1"/>
  <c r="X41" i="10"/>
  <c r="X41" i="9" s="1"/>
  <c r="W41" i="10"/>
  <c r="W41" i="9" s="1"/>
  <c r="V41" i="10"/>
  <c r="V41" i="9"/>
  <c r="U41" i="10"/>
  <c r="U41" i="9" s="1"/>
  <c r="Y40" i="10"/>
  <c r="Y40" i="9" s="1"/>
  <c r="X40" i="10"/>
  <c r="X40" i="9" s="1"/>
  <c r="W40" i="10"/>
  <c r="W40" i="9" s="1"/>
  <c r="V40" i="10"/>
  <c r="V40" i="9" s="1"/>
  <c r="U40" i="10"/>
  <c r="U40" i="9" s="1"/>
  <c r="Y39" i="10"/>
  <c r="Y39" i="9" s="1"/>
  <c r="X39" i="10"/>
  <c r="X39" i="9"/>
  <c r="W39" i="10"/>
  <c r="W39" i="9" s="1"/>
  <c r="V39" i="10"/>
  <c r="V39" i="9" s="1"/>
  <c r="U39" i="10"/>
  <c r="U39" i="9" s="1"/>
  <c r="Y38" i="10"/>
  <c r="Y38" i="9" s="1"/>
  <c r="X38" i="10"/>
  <c r="X38" i="9" s="1"/>
  <c r="W38" i="10"/>
  <c r="W38" i="9" s="1"/>
  <c r="V38" i="10"/>
  <c r="V38" i="9" s="1"/>
  <c r="U38" i="10"/>
  <c r="U38" i="9" s="1"/>
  <c r="Y37" i="10"/>
  <c r="Y37" i="9" s="1"/>
  <c r="X37" i="10"/>
  <c r="X37" i="9"/>
  <c r="W37" i="10"/>
  <c r="W37" i="9"/>
  <c r="V37" i="10"/>
  <c r="V37" i="9" s="1"/>
  <c r="U37" i="10"/>
  <c r="U37" i="9" s="1"/>
  <c r="Y36" i="10"/>
  <c r="Y36" i="9" s="1"/>
  <c r="X36" i="10"/>
  <c r="X36" i="9" s="1"/>
  <c r="W36" i="10"/>
  <c r="W36" i="9"/>
  <c r="V36" i="10"/>
  <c r="V36" i="9" s="1"/>
  <c r="U36" i="10"/>
  <c r="U36" i="9" s="1"/>
  <c r="Y35" i="10"/>
  <c r="Y35" i="9" s="1"/>
  <c r="X35" i="10"/>
  <c r="X35" i="9" s="1"/>
  <c r="W35" i="10"/>
  <c r="W35" i="9" s="1"/>
  <c r="V35" i="10"/>
  <c r="V35" i="9" s="1"/>
  <c r="U35" i="10"/>
  <c r="U35" i="9" s="1"/>
  <c r="Y34" i="10"/>
  <c r="Y34" i="9"/>
  <c r="X34" i="10"/>
  <c r="X34" i="9" s="1"/>
  <c r="W34" i="10"/>
  <c r="W34" i="9" s="1"/>
  <c r="V34" i="10"/>
  <c r="V34" i="9" s="1"/>
  <c r="U34" i="10"/>
  <c r="U34" i="9" s="1"/>
  <c r="Y33" i="10"/>
  <c r="Y33" i="9" s="1"/>
  <c r="X33" i="10"/>
  <c r="X33" i="9" s="1"/>
  <c r="W33" i="10"/>
  <c r="W33" i="9"/>
  <c r="V33" i="10"/>
  <c r="V33" i="9"/>
  <c r="U33" i="10"/>
  <c r="U33" i="9" s="1"/>
  <c r="Y32" i="10"/>
  <c r="Y32" i="9" s="1"/>
  <c r="X32" i="10"/>
  <c r="X32" i="9"/>
  <c r="W32" i="10"/>
  <c r="W32" i="9" s="1"/>
  <c r="V32" i="10"/>
  <c r="V32" i="9" s="1"/>
  <c r="U32" i="10"/>
  <c r="U32" i="9" s="1"/>
  <c r="Y31" i="10"/>
  <c r="Y31" i="9" s="1"/>
  <c r="X31" i="10"/>
  <c r="X31" i="9"/>
  <c r="W31" i="10"/>
  <c r="W31" i="9" s="1"/>
  <c r="V31" i="10"/>
  <c r="V31" i="9" s="1"/>
  <c r="U31" i="10"/>
  <c r="U31" i="9" s="1"/>
  <c r="Y30" i="10"/>
  <c r="Y30" i="9" s="1"/>
  <c r="X30" i="10"/>
  <c r="X30" i="9" s="1"/>
  <c r="W30" i="10"/>
  <c r="W30" i="9" s="1"/>
  <c r="V30" i="10"/>
  <c r="V30" i="9"/>
  <c r="U30" i="10"/>
  <c r="U30" i="9" s="1"/>
  <c r="Y29" i="10"/>
  <c r="Y29" i="9" s="1"/>
  <c r="X29" i="10"/>
  <c r="X29" i="9" s="1"/>
  <c r="W29" i="10"/>
  <c r="W29" i="9" s="1"/>
  <c r="V29" i="10"/>
  <c r="V29" i="9" s="1"/>
  <c r="U29" i="10"/>
  <c r="U29" i="9" s="1"/>
  <c r="Y28" i="10"/>
  <c r="Y28" i="9" s="1"/>
  <c r="X28" i="10"/>
  <c r="X28" i="9" s="1"/>
  <c r="W28" i="10"/>
  <c r="W28" i="9"/>
  <c r="V28" i="10"/>
  <c r="V28" i="9" s="1"/>
  <c r="U28" i="10"/>
  <c r="U28" i="9" s="1"/>
  <c r="Y27" i="10"/>
  <c r="Y27" i="9"/>
  <c r="X27" i="10"/>
  <c r="X27" i="9" s="1"/>
  <c r="W27" i="10"/>
  <c r="W27" i="9" s="1"/>
  <c r="V27" i="10"/>
  <c r="V27" i="9" s="1"/>
  <c r="U27" i="10"/>
  <c r="U27" i="9"/>
  <c r="Y26" i="10"/>
  <c r="Y26" i="9"/>
  <c r="X26" i="10"/>
  <c r="X26" i="9" s="1"/>
  <c r="W26" i="10"/>
  <c r="W26" i="9" s="1"/>
  <c r="V26" i="10"/>
  <c r="V26" i="9"/>
  <c r="U26" i="10"/>
  <c r="U26" i="9" s="1"/>
  <c r="Y25" i="10"/>
  <c r="Y25" i="9" s="1"/>
  <c r="X25" i="10"/>
  <c r="X25" i="9" s="1"/>
  <c r="W25" i="10"/>
  <c r="W25" i="9" s="1"/>
  <c r="V25" i="10"/>
  <c r="V25" i="9" s="1"/>
  <c r="U25" i="10"/>
  <c r="U25" i="9" s="1"/>
  <c r="Y24" i="10"/>
  <c r="Y24" i="9" s="1"/>
  <c r="X24" i="10"/>
  <c r="X24" i="9"/>
  <c r="W24" i="10"/>
  <c r="W24" i="9"/>
  <c r="V24" i="10"/>
  <c r="V24" i="9" s="1"/>
  <c r="U24" i="10"/>
  <c r="U24" i="9" s="1"/>
  <c r="Y23" i="10"/>
  <c r="Y23" i="9"/>
  <c r="X23" i="10"/>
  <c r="X23" i="9"/>
  <c r="W23" i="10"/>
  <c r="W23" i="9" s="1"/>
  <c r="V23" i="10"/>
  <c r="V23" i="9" s="1"/>
  <c r="U23" i="10"/>
  <c r="U23" i="9" s="1"/>
  <c r="Y22" i="10"/>
  <c r="Y22" i="9" s="1"/>
  <c r="X22" i="10"/>
  <c r="X22" i="9" s="1"/>
  <c r="W22" i="10"/>
  <c r="W22" i="9" s="1"/>
  <c r="V22" i="10"/>
  <c r="V22" i="9" s="1"/>
  <c r="U22" i="10"/>
  <c r="U22" i="9"/>
  <c r="Y21" i="10"/>
  <c r="Y21" i="9" s="1"/>
  <c r="X21" i="10"/>
  <c r="X21" i="9" s="1"/>
  <c r="W21" i="10"/>
  <c r="W21" i="9" s="1"/>
  <c r="V21" i="10"/>
  <c r="V21" i="9" s="1"/>
  <c r="U21" i="10"/>
  <c r="U21" i="9" s="1"/>
  <c r="Y20" i="10"/>
  <c r="Y20" i="9" s="1"/>
  <c r="X20" i="10"/>
  <c r="X20" i="9" s="1"/>
  <c r="W20" i="10"/>
  <c r="W20" i="9" s="1"/>
  <c r="V20" i="10"/>
  <c r="V20" i="9" s="1"/>
  <c r="U20" i="10"/>
  <c r="U20" i="9" s="1"/>
  <c r="Y19" i="10"/>
  <c r="Y19" i="9" s="1"/>
  <c r="X19" i="10"/>
  <c r="X19" i="9" s="1"/>
  <c r="W19" i="10"/>
  <c r="W19" i="9" s="1"/>
  <c r="V19" i="10"/>
  <c r="V19" i="9" s="1"/>
  <c r="U19" i="10"/>
  <c r="U19" i="9" s="1"/>
  <c r="Y18" i="10"/>
  <c r="Y18" i="9"/>
  <c r="X18" i="10"/>
  <c r="X18" i="9" s="1"/>
  <c r="W18" i="10"/>
  <c r="W18" i="9"/>
  <c r="V18" i="10"/>
  <c r="V18" i="9" s="1"/>
  <c r="U18" i="10"/>
  <c r="U18" i="9"/>
  <c r="Y17" i="10"/>
  <c r="Y17" i="9" s="1"/>
  <c r="X17" i="10"/>
  <c r="X17" i="9" s="1"/>
  <c r="W17" i="10"/>
  <c r="W17" i="9"/>
  <c r="V17" i="10"/>
  <c r="V17" i="9"/>
  <c r="U17" i="10"/>
  <c r="U17" i="9" s="1"/>
  <c r="Y16" i="10"/>
  <c r="Y16" i="9" s="1"/>
  <c r="X16" i="10"/>
  <c r="X16" i="9" s="1"/>
  <c r="W16" i="10"/>
  <c r="W16" i="9" s="1"/>
  <c r="V16" i="10"/>
  <c r="V16" i="9" s="1"/>
  <c r="U16" i="10"/>
  <c r="U16" i="9" s="1"/>
  <c r="Y15" i="10"/>
  <c r="Y15" i="9" s="1"/>
  <c r="X15" i="10"/>
  <c r="X15" i="9"/>
  <c r="W15" i="10"/>
  <c r="W15" i="9" s="1"/>
  <c r="V15" i="10"/>
  <c r="V15" i="9" s="1"/>
  <c r="U15" i="10"/>
  <c r="U15" i="9" s="1"/>
  <c r="Y14" i="10"/>
  <c r="Y14" i="9" s="1"/>
  <c r="X14" i="10"/>
  <c r="X14" i="9" s="1"/>
  <c r="W14" i="10"/>
  <c r="W14" i="9" s="1"/>
  <c r="V14" i="10"/>
  <c r="V14" i="9" s="1"/>
  <c r="U14" i="10"/>
  <c r="U14" i="9"/>
  <c r="Y13" i="10"/>
  <c r="Y13" i="9" s="1"/>
  <c r="X13" i="10"/>
  <c r="X13" i="9" s="1"/>
  <c r="W13" i="10"/>
  <c r="W13" i="9" s="1"/>
  <c r="V13" i="10"/>
  <c r="V13" i="9" s="1"/>
  <c r="U13" i="10"/>
  <c r="U13" i="9" s="1"/>
  <c r="Y12" i="10"/>
  <c r="Y12" i="9" s="1"/>
  <c r="X12" i="10"/>
  <c r="X12" i="9" s="1"/>
  <c r="W12" i="10"/>
  <c r="W12" i="9"/>
  <c r="V12" i="10"/>
  <c r="V12" i="9" s="1"/>
  <c r="U12" i="10"/>
  <c r="U12" i="9" s="1"/>
  <c r="Y11" i="10"/>
  <c r="Y11" i="9" s="1"/>
  <c r="X11" i="10"/>
  <c r="X11" i="9" s="1"/>
  <c r="W11" i="10"/>
  <c r="W11" i="9" s="1"/>
  <c r="V11" i="10"/>
  <c r="V11" i="9" s="1"/>
  <c r="U11" i="10"/>
  <c r="U11" i="9" s="1"/>
  <c r="Y10" i="10"/>
  <c r="Y10" i="9"/>
  <c r="X10" i="10"/>
  <c r="X10" i="9" s="1"/>
  <c r="W10" i="10"/>
  <c r="W10" i="9" s="1"/>
  <c r="V10" i="10"/>
  <c r="V10" i="9" s="1"/>
  <c r="U10" i="10"/>
  <c r="U10" i="9" s="1"/>
  <c r="Y9" i="10"/>
  <c r="Y9" i="9" s="1"/>
  <c r="X9" i="10"/>
  <c r="X9" i="9" s="1"/>
  <c r="W9" i="10"/>
  <c r="W9" i="9" s="1"/>
  <c r="V9" i="10"/>
  <c r="V9" i="9"/>
  <c r="U9" i="10"/>
  <c r="U9" i="9" s="1"/>
  <c r="Y8" i="10"/>
  <c r="Y8" i="9"/>
  <c r="X8" i="10"/>
  <c r="X8" i="9" s="1"/>
  <c r="W8" i="10"/>
  <c r="W8" i="9" s="1"/>
  <c r="V8" i="10"/>
  <c r="V8" i="9" s="1"/>
  <c r="U8" i="10"/>
  <c r="U8" i="9" s="1"/>
  <c r="Y7" i="10"/>
  <c r="Y7" i="9" s="1"/>
  <c r="X7" i="10"/>
  <c r="X7" i="9" s="1"/>
  <c r="W7" i="10"/>
  <c r="W7" i="9" s="1"/>
  <c r="V7" i="10"/>
  <c r="V7" i="9" s="1"/>
  <c r="U7" i="10"/>
  <c r="U7" i="9" s="1"/>
  <c r="Y6" i="10"/>
  <c r="Y6" i="9" s="1"/>
  <c r="X6" i="10"/>
  <c r="X6" i="9" s="1"/>
  <c r="W6" i="10"/>
  <c r="W6" i="9" s="1"/>
  <c r="V6" i="10"/>
  <c r="V6" i="9" s="1"/>
  <c r="U6" i="10"/>
  <c r="U6" i="9" s="1"/>
  <c r="Y5" i="10"/>
  <c r="Y5" i="9" s="1"/>
  <c r="X5" i="10"/>
  <c r="X5" i="9"/>
  <c r="W5" i="10"/>
  <c r="W5" i="9"/>
  <c r="V5" i="10"/>
  <c r="V5" i="9" s="1"/>
  <c r="U5" i="10"/>
  <c r="U5" i="9" s="1"/>
  <c r="Y4" i="10"/>
  <c r="Y4" i="9" s="1"/>
  <c r="X4" i="10"/>
  <c r="X4" i="9" s="1"/>
  <c r="W4" i="10"/>
  <c r="W4" i="9" s="1"/>
  <c r="V4" i="10"/>
  <c r="V4" i="9" s="1"/>
  <c r="U4" i="10"/>
  <c r="U4" i="9" s="1"/>
  <c r="Y3" i="10"/>
  <c r="Y3" i="9" s="1"/>
  <c r="X3" i="10"/>
  <c r="X3" i="9" s="1"/>
  <c r="W3" i="10"/>
  <c r="W3" i="9" s="1"/>
  <c r="V3" i="10"/>
  <c r="V3" i="9" s="1"/>
  <c r="U3" i="10"/>
  <c r="U3" i="9" s="1"/>
  <c r="Y2" i="10"/>
  <c r="Y2" i="9"/>
  <c r="X2" i="10"/>
  <c r="X2" i="9" s="1"/>
  <c r="W2" i="10"/>
  <c r="W2" i="9" s="1"/>
  <c r="V2" i="10"/>
  <c r="V2" i="9" s="1"/>
  <c r="U2" i="10"/>
  <c r="U2" i="9" s="1"/>
  <c r="Y1" i="10"/>
  <c r="Y1" i="9" s="1"/>
  <c r="X1" i="10"/>
  <c r="X1" i="9" s="1"/>
  <c r="W1" i="10"/>
  <c r="W1" i="9" s="1"/>
  <c r="V1" i="10"/>
  <c r="V1" i="9" s="1"/>
  <c r="U1" i="10"/>
  <c r="U1" i="9" s="1"/>
  <c r="T49" i="10"/>
  <c r="T49" i="9" s="1"/>
  <c r="S49" i="10"/>
  <c r="S49" i="9"/>
  <c r="R49" i="10"/>
  <c r="R49" i="9" s="1"/>
  <c r="Q49" i="10"/>
  <c r="Q49" i="9" s="1"/>
  <c r="P49" i="10"/>
  <c r="P49" i="9" s="1"/>
  <c r="T48" i="10"/>
  <c r="T48" i="9" s="1"/>
  <c r="S48" i="10"/>
  <c r="S48" i="9" s="1"/>
  <c r="R48" i="10"/>
  <c r="R48" i="9" s="1"/>
  <c r="Q48" i="10"/>
  <c r="Q48" i="9" s="1"/>
  <c r="P48" i="10"/>
  <c r="P48" i="9" s="1"/>
  <c r="T47" i="10"/>
  <c r="T47" i="9" s="1"/>
  <c r="S47" i="10"/>
  <c r="S47" i="9" s="1"/>
  <c r="R47" i="10"/>
  <c r="R47" i="9" s="1"/>
  <c r="Q47" i="10"/>
  <c r="Q47" i="9"/>
  <c r="P47" i="10"/>
  <c r="P47" i="9" s="1"/>
  <c r="T46" i="10"/>
  <c r="T46" i="9" s="1"/>
  <c r="S46" i="10"/>
  <c r="S46" i="9" s="1"/>
  <c r="R46" i="10"/>
  <c r="R46" i="9" s="1"/>
  <c r="Q46" i="10"/>
  <c r="Q46" i="9"/>
  <c r="P46" i="10"/>
  <c r="P46" i="9" s="1"/>
  <c r="T45" i="10"/>
  <c r="T45" i="9" s="1"/>
  <c r="S45" i="10"/>
  <c r="S45" i="9" s="1"/>
  <c r="R45" i="10"/>
  <c r="R45" i="9" s="1"/>
  <c r="Q45" i="10"/>
  <c r="Q45" i="9" s="1"/>
  <c r="P45" i="10"/>
  <c r="P45" i="9"/>
  <c r="T44" i="10"/>
  <c r="T44" i="9"/>
  <c r="S44" i="10"/>
  <c r="S44" i="9"/>
  <c r="R44" i="10"/>
  <c r="R44" i="9" s="1"/>
  <c r="Q44" i="10"/>
  <c r="Q44" i="9" s="1"/>
  <c r="P44" i="10"/>
  <c r="P44" i="9"/>
  <c r="T43" i="10"/>
  <c r="T43" i="9"/>
  <c r="S43" i="10"/>
  <c r="S43" i="9" s="1"/>
  <c r="R43" i="10"/>
  <c r="R43" i="9" s="1"/>
  <c r="Q43" i="10"/>
  <c r="Q43" i="9" s="1"/>
  <c r="P43" i="10"/>
  <c r="P43" i="9" s="1"/>
  <c r="T42" i="10"/>
  <c r="T42" i="9" s="1"/>
  <c r="S42" i="10"/>
  <c r="S42" i="9" s="1"/>
  <c r="R42" i="10"/>
  <c r="R42" i="9" s="1"/>
  <c r="Q42" i="10"/>
  <c r="Q42" i="9" s="1"/>
  <c r="P42" i="10"/>
  <c r="P42" i="9" s="1"/>
  <c r="T41" i="10"/>
  <c r="T41" i="9"/>
  <c r="S41" i="10"/>
  <c r="S41" i="9" s="1"/>
  <c r="R41" i="10"/>
  <c r="R41" i="9"/>
  <c r="Q41" i="10"/>
  <c r="Q41" i="9" s="1"/>
  <c r="P41" i="10"/>
  <c r="P41" i="9" s="1"/>
  <c r="T40" i="10"/>
  <c r="T40" i="9" s="1"/>
  <c r="S40" i="10"/>
  <c r="S40" i="9" s="1"/>
  <c r="R40" i="10"/>
  <c r="R40" i="9" s="1"/>
  <c r="Q40" i="10"/>
  <c r="Q40" i="9" s="1"/>
  <c r="P40" i="10"/>
  <c r="P40" i="9" s="1"/>
  <c r="T39" i="10"/>
  <c r="T39" i="9" s="1"/>
  <c r="S39" i="10"/>
  <c r="S39" i="9" s="1"/>
  <c r="R39" i="10"/>
  <c r="R39" i="9" s="1"/>
  <c r="Q39" i="10"/>
  <c r="Q39" i="9" s="1"/>
  <c r="P39" i="10"/>
  <c r="P39" i="9"/>
  <c r="T38" i="10"/>
  <c r="T38" i="9" s="1"/>
  <c r="S38" i="10"/>
  <c r="S38" i="9"/>
  <c r="R38" i="10"/>
  <c r="R38" i="9" s="1"/>
  <c r="Q38" i="10"/>
  <c r="Q38" i="9" s="1"/>
  <c r="P38" i="10"/>
  <c r="P38" i="9" s="1"/>
  <c r="T37" i="10"/>
  <c r="T37" i="9" s="1"/>
  <c r="S37" i="10"/>
  <c r="S37" i="9" s="1"/>
  <c r="R37" i="10"/>
  <c r="R37" i="9"/>
  <c r="Q37" i="10"/>
  <c r="Q37" i="9" s="1"/>
  <c r="P37" i="10"/>
  <c r="P37" i="9" s="1"/>
  <c r="T36" i="10"/>
  <c r="T36" i="9" s="1"/>
  <c r="S36" i="10"/>
  <c r="S36" i="9" s="1"/>
  <c r="R36" i="10"/>
  <c r="R36" i="9" s="1"/>
  <c r="Q36" i="10"/>
  <c r="Q36" i="9" s="1"/>
  <c r="P36" i="10"/>
  <c r="P36" i="9" s="1"/>
  <c r="T35" i="10"/>
  <c r="T35" i="9"/>
  <c r="S35" i="10"/>
  <c r="S35" i="9" s="1"/>
  <c r="R35" i="10"/>
  <c r="R35" i="9"/>
  <c r="Q35" i="10"/>
  <c r="Q35" i="9"/>
  <c r="P35" i="10"/>
  <c r="P35" i="9"/>
  <c r="T34" i="10"/>
  <c r="T34" i="9" s="1"/>
  <c r="S34" i="10"/>
  <c r="S34" i="9" s="1"/>
  <c r="R34" i="10"/>
  <c r="R34" i="9" s="1"/>
  <c r="Q34" i="10"/>
  <c r="Q34" i="9"/>
  <c r="P34" i="10"/>
  <c r="P34" i="9" s="1"/>
  <c r="T33" i="10"/>
  <c r="T33" i="9" s="1"/>
  <c r="S33" i="10"/>
  <c r="S33" i="9" s="1"/>
  <c r="R33" i="10"/>
  <c r="R33" i="9" s="1"/>
  <c r="Q33" i="10"/>
  <c r="Q33" i="9" s="1"/>
  <c r="P33" i="10"/>
  <c r="P33" i="9" s="1"/>
  <c r="T32" i="10"/>
  <c r="T32" i="9" s="1"/>
  <c r="S32" i="10"/>
  <c r="S32" i="9"/>
  <c r="R32" i="10"/>
  <c r="R32" i="9" s="1"/>
  <c r="Q32" i="10"/>
  <c r="Q32" i="9"/>
  <c r="P32" i="10"/>
  <c r="P32" i="9" s="1"/>
  <c r="T31" i="10"/>
  <c r="T31" i="9" s="1"/>
  <c r="S31" i="10"/>
  <c r="S31" i="9" s="1"/>
  <c r="R31" i="10"/>
  <c r="R31" i="9" s="1"/>
  <c r="Q31" i="10"/>
  <c r="Q31" i="9"/>
  <c r="P31" i="10"/>
  <c r="P31" i="9"/>
  <c r="T30" i="10"/>
  <c r="T30" i="9" s="1"/>
  <c r="S30" i="10"/>
  <c r="S30" i="9" s="1"/>
  <c r="R30" i="10"/>
  <c r="R30" i="9"/>
  <c r="Q30" i="10"/>
  <c r="Q30" i="9" s="1"/>
  <c r="P30" i="10"/>
  <c r="P30" i="9" s="1"/>
  <c r="T29" i="10"/>
  <c r="T29" i="9" s="1"/>
  <c r="S29" i="10"/>
  <c r="S29" i="9" s="1"/>
  <c r="R29" i="10"/>
  <c r="R29" i="9"/>
  <c r="Q29" i="10"/>
  <c r="Q29" i="9" s="1"/>
  <c r="P29" i="10"/>
  <c r="P29" i="9" s="1"/>
  <c r="T28" i="10"/>
  <c r="T28" i="9" s="1"/>
  <c r="S28" i="10"/>
  <c r="S28" i="9" s="1"/>
  <c r="R28" i="10"/>
  <c r="R28" i="9" s="1"/>
  <c r="Q28" i="10"/>
  <c r="Q28" i="9" s="1"/>
  <c r="P28" i="10"/>
  <c r="P28" i="9"/>
  <c r="T27" i="10"/>
  <c r="T27" i="9"/>
  <c r="S27" i="10"/>
  <c r="S27" i="9" s="1"/>
  <c r="R27" i="10"/>
  <c r="R27" i="9" s="1"/>
  <c r="Q27" i="10"/>
  <c r="Q27" i="9" s="1"/>
  <c r="P27" i="10"/>
  <c r="P27" i="9" s="1"/>
  <c r="T26" i="10"/>
  <c r="T26" i="9" s="1"/>
  <c r="S26" i="10"/>
  <c r="S26" i="9" s="1"/>
  <c r="R26" i="10"/>
  <c r="R26" i="9"/>
  <c r="Q26" i="10"/>
  <c r="Q26" i="9"/>
  <c r="P26" i="10"/>
  <c r="P26" i="9" s="1"/>
  <c r="T25" i="10"/>
  <c r="T25" i="9" s="1"/>
  <c r="S25" i="10"/>
  <c r="S25" i="9"/>
  <c r="R25" i="10"/>
  <c r="R25" i="9"/>
  <c r="Q25" i="10"/>
  <c r="Q25" i="9" s="1"/>
  <c r="P25" i="10"/>
  <c r="P25" i="9" s="1"/>
  <c r="T24" i="10"/>
  <c r="T24" i="9"/>
  <c r="S24" i="10"/>
  <c r="S24" i="9"/>
  <c r="R24" i="10"/>
  <c r="R24" i="9" s="1"/>
  <c r="Q24" i="10"/>
  <c r="Q24" i="9" s="1"/>
  <c r="P24" i="10"/>
  <c r="P24" i="9"/>
  <c r="T23" i="10"/>
  <c r="T23" i="9" s="1"/>
  <c r="S23" i="10"/>
  <c r="S23" i="9" s="1"/>
  <c r="R23" i="10"/>
  <c r="R23" i="9" s="1"/>
  <c r="Q23" i="10"/>
  <c r="Q23" i="9" s="1"/>
  <c r="P23" i="10"/>
  <c r="P23" i="9"/>
  <c r="T22" i="10"/>
  <c r="T22" i="9" s="1"/>
  <c r="S22" i="10"/>
  <c r="S22" i="9" s="1"/>
  <c r="R22" i="10"/>
  <c r="R22" i="9"/>
  <c r="Q22" i="10"/>
  <c r="Q22" i="9"/>
  <c r="P22" i="10"/>
  <c r="P22" i="9" s="1"/>
  <c r="T21" i="10"/>
  <c r="T21" i="9" s="1"/>
  <c r="S21" i="10"/>
  <c r="S21" i="9"/>
  <c r="R21" i="10"/>
  <c r="R21" i="9"/>
  <c r="Q21" i="10"/>
  <c r="Q21" i="9" s="1"/>
  <c r="P21" i="10"/>
  <c r="P21" i="9" s="1"/>
  <c r="T20" i="10"/>
  <c r="T20" i="9" s="1"/>
  <c r="S20" i="10"/>
  <c r="S20" i="9" s="1"/>
  <c r="R20" i="10"/>
  <c r="R20" i="9" s="1"/>
  <c r="Q20" i="10"/>
  <c r="Q20" i="9" s="1"/>
  <c r="P20" i="10"/>
  <c r="P20" i="9" s="1"/>
  <c r="T19" i="10"/>
  <c r="T19" i="9"/>
  <c r="S19" i="10"/>
  <c r="S19" i="9" s="1"/>
  <c r="R19" i="10"/>
  <c r="R19" i="9" s="1"/>
  <c r="Q19" i="10"/>
  <c r="Q19" i="9" s="1"/>
  <c r="P19" i="10"/>
  <c r="P19" i="9" s="1"/>
  <c r="T18" i="10"/>
  <c r="T18" i="9" s="1"/>
  <c r="S18" i="10"/>
  <c r="S18" i="9" s="1"/>
  <c r="R18" i="10"/>
  <c r="R18" i="9" s="1"/>
  <c r="Q18" i="10"/>
  <c r="Q18" i="9" s="1"/>
  <c r="P18" i="10"/>
  <c r="P18" i="9" s="1"/>
  <c r="T17" i="10"/>
  <c r="T17" i="9" s="1"/>
  <c r="S17" i="10"/>
  <c r="S17" i="9" s="1"/>
  <c r="R17" i="10"/>
  <c r="R17" i="9" s="1"/>
  <c r="Q17" i="10"/>
  <c r="Q17" i="9" s="1"/>
  <c r="P17" i="10"/>
  <c r="P17" i="9" s="1"/>
  <c r="T16" i="10"/>
  <c r="T16" i="9" s="1"/>
  <c r="S16" i="10"/>
  <c r="S16" i="9"/>
  <c r="R16" i="10"/>
  <c r="R16" i="9" s="1"/>
  <c r="Q16" i="10"/>
  <c r="Q16" i="9" s="1"/>
  <c r="P16" i="10"/>
  <c r="P16" i="9" s="1"/>
  <c r="T15" i="10"/>
  <c r="T15" i="9"/>
  <c r="S15" i="10"/>
  <c r="S15" i="9" s="1"/>
  <c r="R15" i="10"/>
  <c r="R15" i="9" s="1"/>
  <c r="Q15" i="10"/>
  <c r="Q15" i="9"/>
  <c r="P15" i="10"/>
  <c r="P15" i="9"/>
  <c r="T14" i="10"/>
  <c r="T14" i="9" s="1"/>
  <c r="S14" i="10"/>
  <c r="S14" i="9" s="1"/>
  <c r="R14" i="10"/>
  <c r="R14" i="9" s="1"/>
  <c r="Q14" i="10"/>
  <c r="Q14" i="9" s="1"/>
  <c r="P14" i="10"/>
  <c r="P14" i="9" s="1"/>
  <c r="T13" i="10"/>
  <c r="T13" i="9" s="1"/>
  <c r="S13" i="10"/>
  <c r="S13" i="9" s="1"/>
  <c r="R13" i="10"/>
  <c r="R13" i="9"/>
  <c r="Q13" i="10"/>
  <c r="Q13" i="9" s="1"/>
  <c r="P13" i="10"/>
  <c r="P13" i="9"/>
  <c r="T12" i="10"/>
  <c r="T12" i="9" s="1"/>
  <c r="S12" i="10"/>
  <c r="S12" i="9" s="1"/>
  <c r="R12" i="10"/>
  <c r="R12" i="9" s="1"/>
  <c r="Q12" i="10"/>
  <c r="Q12" i="9" s="1"/>
  <c r="P12" i="10"/>
  <c r="P12" i="9" s="1"/>
  <c r="T11" i="10"/>
  <c r="T11" i="9"/>
  <c r="S11" i="10"/>
  <c r="S11" i="9" s="1"/>
  <c r="R11" i="10"/>
  <c r="R11" i="9" s="1"/>
  <c r="Q11" i="10"/>
  <c r="Q11" i="9" s="1"/>
  <c r="P11" i="10"/>
  <c r="P11" i="9" s="1"/>
  <c r="T10" i="10"/>
  <c r="T10" i="9" s="1"/>
  <c r="S10" i="10"/>
  <c r="S10" i="9" s="1"/>
  <c r="R10" i="10"/>
  <c r="R10" i="9" s="1"/>
  <c r="Q10" i="10"/>
  <c r="Q10" i="9"/>
  <c r="P10" i="10"/>
  <c r="P10" i="9" s="1"/>
  <c r="T9" i="10"/>
  <c r="T9" i="9" s="1"/>
  <c r="S9" i="10"/>
  <c r="S9" i="9"/>
  <c r="R9" i="10"/>
  <c r="R9" i="9" s="1"/>
  <c r="Q9" i="10"/>
  <c r="Q9" i="9" s="1"/>
  <c r="P9" i="10"/>
  <c r="P9" i="9" s="1"/>
  <c r="T8" i="10"/>
  <c r="T8" i="9" s="1"/>
  <c r="S8" i="10"/>
  <c r="S8" i="9"/>
  <c r="R8" i="10"/>
  <c r="R8" i="9" s="1"/>
  <c r="Q8" i="10"/>
  <c r="Q8" i="9" s="1"/>
  <c r="P8" i="10"/>
  <c r="P8" i="9" s="1"/>
  <c r="T7" i="10"/>
  <c r="T7" i="9" s="1"/>
  <c r="S7" i="10"/>
  <c r="S7" i="9" s="1"/>
  <c r="R7" i="10"/>
  <c r="R7" i="9" s="1"/>
  <c r="Q7" i="10"/>
  <c r="Q7" i="9" s="1"/>
  <c r="P7" i="10"/>
  <c r="P7" i="9"/>
  <c r="T6" i="10"/>
  <c r="T6" i="9" s="1"/>
  <c r="S6" i="10"/>
  <c r="S6" i="9"/>
  <c r="R6" i="10"/>
  <c r="R6" i="9" s="1"/>
  <c r="Q6" i="10"/>
  <c r="Q6" i="9" s="1"/>
  <c r="P6" i="10"/>
  <c r="P6" i="9" s="1"/>
  <c r="T5" i="10"/>
  <c r="T5" i="9" s="1"/>
  <c r="S5" i="10"/>
  <c r="S5" i="9"/>
  <c r="R5" i="10"/>
  <c r="R5" i="9" s="1"/>
  <c r="Q5" i="10"/>
  <c r="Q5" i="9" s="1"/>
  <c r="P5" i="10"/>
  <c r="P5" i="9" s="1"/>
  <c r="T4" i="10"/>
  <c r="T4" i="9"/>
  <c r="S4" i="10"/>
  <c r="S4" i="9" s="1"/>
  <c r="R4" i="10"/>
  <c r="R4" i="9" s="1"/>
  <c r="Q4" i="10"/>
  <c r="Q4" i="9" s="1"/>
  <c r="P4" i="10"/>
  <c r="P4" i="9"/>
  <c r="T3" i="10"/>
  <c r="T3" i="9"/>
  <c r="S3" i="10"/>
  <c r="S3" i="9" s="1"/>
  <c r="R3" i="10"/>
  <c r="R3" i="9" s="1"/>
  <c r="Q3" i="10"/>
  <c r="Q3" i="9" s="1"/>
  <c r="P3" i="10"/>
  <c r="P3" i="9"/>
  <c r="T2" i="10"/>
  <c r="T2" i="9" s="1"/>
  <c r="S2" i="10"/>
  <c r="S2" i="9"/>
  <c r="R2" i="10"/>
  <c r="R2" i="9" s="1"/>
  <c r="Q2" i="10"/>
  <c r="Q2" i="9" s="1"/>
  <c r="P2" i="10"/>
  <c r="P2" i="9" s="1"/>
  <c r="T1" i="10"/>
  <c r="T1" i="9" s="1"/>
  <c r="S1" i="10"/>
  <c r="S1" i="9"/>
  <c r="R1" i="10"/>
  <c r="R1" i="9" s="1"/>
  <c r="Q1" i="10"/>
  <c r="Q1" i="9" s="1"/>
  <c r="P1" i="10"/>
  <c r="P1" i="9"/>
  <c r="O49" i="10"/>
  <c r="O49" i="9"/>
  <c r="N49" i="10"/>
  <c r="N49" i="9"/>
  <c r="M49" i="10"/>
  <c r="M49" i="9" s="1"/>
  <c r="L49" i="10"/>
  <c r="L49" i="9" s="1"/>
  <c r="K49" i="10"/>
  <c r="K49" i="9"/>
  <c r="O48" i="10"/>
  <c r="O48" i="9"/>
  <c r="N48" i="10"/>
  <c r="N48" i="9" s="1"/>
  <c r="M48" i="10"/>
  <c r="M48" i="9" s="1"/>
  <c r="L48" i="10"/>
  <c r="L48" i="9" s="1"/>
  <c r="K48" i="10"/>
  <c r="K48" i="9"/>
  <c r="O47" i="10"/>
  <c r="O47" i="9" s="1"/>
  <c r="N47" i="10"/>
  <c r="N47" i="9" s="1"/>
  <c r="M47" i="10"/>
  <c r="M47" i="9" s="1"/>
  <c r="L47" i="10"/>
  <c r="L47" i="9" s="1"/>
  <c r="K47" i="10"/>
  <c r="K47" i="9" s="1"/>
  <c r="O46" i="10"/>
  <c r="O46" i="9"/>
  <c r="N46" i="10"/>
  <c r="N46" i="9" s="1"/>
  <c r="M46" i="10"/>
  <c r="M46" i="9" s="1"/>
  <c r="L46" i="10"/>
  <c r="L46" i="9" s="1"/>
  <c r="K46" i="10"/>
  <c r="K46" i="9" s="1"/>
  <c r="O45" i="10"/>
  <c r="O45" i="9"/>
  <c r="N45" i="10"/>
  <c r="N45" i="9"/>
  <c r="M45" i="10"/>
  <c r="M45" i="9" s="1"/>
  <c r="L45" i="10"/>
  <c r="L45" i="9" s="1"/>
  <c r="K45" i="10"/>
  <c r="K45" i="9"/>
  <c r="O44" i="10"/>
  <c r="O44" i="9" s="1"/>
  <c r="N44" i="10"/>
  <c r="N44" i="9" s="1"/>
  <c r="M44" i="10"/>
  <c r="M44" i="9" s="1"/>
  <c r="L44" i="10"/>
  <c r="L44" i="9" s="1"/>
  <c r="K44" i="10"/>
  <c r="K44" i="9"/>
  <c r="O43" i="10"/>
  <c r="O43" i="9" s="1"/>
  <c r="N43" i="10"/>
  <c r="N43" i="9" s="1"/>
  <c r="M43" i="10"/>
  <c r="M43" i="9" s="1"/>
  <c r="L43" i="10"/>
  <c r="L43" i="9"/>
  <c r="K43" i="10"/>
  <c r="K43" i="9" s="1"/>
  <c r="O42" i="10"/>
  <c r="O42" i="9" s="1"/>
  <c r="N42" i="10"/>
  <c r="N42" i="9"/>
  <c r="M42" i="10"/>
  <c r="M42" i="9" s="1"/>
  <c r="L42" i="10"/>
  <c r="L42" i="9" s="1"/>
  <c r="K42" i="10"/>
  <c r="K42" i="9"/>
  <c r="O41" i="10"/>
  <c r="O41" i="9" s="1"/>
  <c r="N41" i="10"/>
  <c r="N41" i="9" s="1"/>
  <c r="M41" i="10"/>
  <c r="M41" i="9" s="1"/>
  <c r="L41" i="10"/>
  <c r="L41" i="9" s="1"/>
  <c r="K41" i="10"/>
  <c r="K41" i="9"/>
  <c r="O40" i="10"/>
  <c r="O40" i="9"/>
  <c r="N40" i="10"/>
  <c r="N40" i="9" s="1"/>
  <c r="M40" i="10"/>
  <c r="M40" i="9" s="1"/>
  <c r="L40" i="10"/>
  <c r="L40" i="9"/>
  <c r="K40" i="10"/>
  <c r="K40" i="9"/>
  <c r="O39" i="10"/>
  <c r="O39" i="9" s="1"/>
  <c r="N39" i="10"/>
  <c r="N39" i="9" s="1"/>
  <c r="M39" i="10"/>
  <c r="M39" i="9" s="1"/>
  <c r="L39" i="10"/>
  <c r="L39" i="9"/>
  <c r="K39" i="10"/>
  <c r="K39" i="9" s="1"/>
  <c r="O38" i="10"/>
  <c r="O38" i="9"/>
  <c r="N38" i="10"/>
  <c r="N38" i="9" s="1"/>
  <c r="M38" i="10"/>
  <c r="M38" i="9" s="1"/>
  <c r="L38" i="10"/>
  <c r="L38" i="9" s="1"/>
  <c r="K38" i="10"/>
  <c r="K38" i="9" s="1"/>
  <c r="O37" i="10"/>
  <c r="O37" i="9" s="1"/>
  <c r="N37" i="10"/>
  <c r="N37" i="9" s="1"/>
  <c r="M37" i="10"/>
  <c r="M37" i="9" s="1"/>
  <c r="L37" i="10"/>
  <c r="L37" i="9"/>
  <c r="K37" i="10"/>
  <c r="K37" i="9"/>
  <c r="O36" i="10"/>
  <c r="O36" i="9" s="1"/>
  <c r="N36" i="10"/>
  <c r="N36" i="9" s="1"/>
  <c r="M36" i="10"/>
  <c r="M36" i="9" s="1"/>
  <c r="L36" i="10"/>
  <c r="L36" i="9"/>
  <c r="K36" i="10"/>
  <c r="K36" i="9"/>
  <c r="O35" i="10"/>
  <c r="O35" i="9" s="1"/>
  <c r="N35" i="10"/>
  <c r="N35" i="9" s="1"/>
  <c r="M35" i="10"/>
  <c r="M35" i="9" s="1"/>
  <c r="L35" i="10"/>
  <c r="L35" i="9"/>
  <c r="K35" i="10"/>
  <c r="K35" i="9" s="1"/>
  <c r="O34" i="10"/>
  <c r="O34" i="9" s="1"/>
  <c r="N34" i="10"/>
  <c r="N34" i="9" s="1"/>
  <c r="M34" i="10"/>
  <c r="M34" i="9" s="1"/>
  <c r="L34" i="10"/>
  <c r="L34" i="9" s="1"/>
  <c r="K34" i="10"/>
  <c r="K34" i="9"/>
  <c r="O33" i="10"/>
  <c r="O33" i="9"/>
  <c r="N33" i="10"/>
  <c r="N33" i="9" s="1"/>
  <c r="M33" i="10"/>
  <c r="M33" i="9" s="1"/>
  <c r="L33" i="10"/>
  <c r="L33" i="9" s="1"/>
  <c r="K33" i="10"/>
  <c r="K33" i="9"/>
  <c r="O32" i="10"/>
  <c r="O32" i="9" s="1"/>
  <c r="N32" i="10"/>
  <c r="N32" i="9" s="1"/>
  <c r="M32" i="10"/>
  <c r="M32" i="9" s="1"/>
  <c r="L32" i="10"/>
  <c r="L32" i="9" s="1"/>
  <c r="K32" i="10"/>
  <c r="K32" i="9" s="1"/>
  <c r="O31" i="10"/>
  <c r="O31" i="9" s="1"/>
  <c r="N31" i="10"/>
  <c r="N31" i="9" s="1"/>
  <c r="M31" i="10"/>
  <c r="M31" i="9"/>
  <c r="L31" i="10"/>
  <c r="L31" i="9" s="1"/>
  <c r="K31" i="10"/>
  <c r="K31" i="9" s="1"/>
  <c r="O30" i="10"/>
  <c r="O30" i="9" s="1"/>
  <c r="N30" i="10"/>
  <c r="N30" i="9" s="1"/>
  <c r="M30" i="10"/>
  <c r="M30" i="9"/>
  <c r="L30" i="10"/>
  <c r="L30" i="9" s="1"/>
  <c r="K30" i="10"/>
  <c r="K30" i="9" s="1"/>
  <c r="O29" i="10"/>
  <c r="O29" i="9"/>
  <c r="N29" i="10"/>
  <c r="N29" i="9" s="1"/>
  <c r="M29" i="10"/>
  <c r="M29" i="9" s="1"/>
  <c r="L29" i="10"/>
  <c r="L29" i="9" s="1"/>
  <c r="K29" i="10"/>
  <c r="K29" i="9"/>
  <c r="O28" i="10"/>
  <c r="O28" i="9" s="1"/>
  <c r="N28" i="10"/>
  <c r="N28" i="9" s="1"/>
  <c r="M28" i="10"/>
  <c r="M28" i="9" s="1"/>
  <c r="L28" i="10"/>
  <c r="L28" i="9" s="1"/>
  <c r="K28" i="10"/>
  <c r="K28" i="9"/>
  <c r="O27" i="10"/>
  <c r="O27" i="9" s="1"/>
  <c r="N27" i="10"/>
  <c r="N27" i="9" s="1"/>
  <c r="M27" i="10"/>
  <c r="M27" i="9"/>
  <c r="L27" i="10"/>
  <c r="L27" i="9"/>
  <c r="K27" i="10"/>
  <c r="K27" i="9" s="1"/>
  <c r="O26" i="10"/>
  <c r="O26" i="9" s="1"/>
  <c r="N26" i="10"/>
  <c r="N26" i="9" s="1"/>
  <c r="M26" i="10"/>
  <c r="M26" i="9"/>
  <c r="L26" i="10"/>
  <c r="L26" i="9" s="1"/>
  <c r="K26" i="10"/>
  <c r="K26" i="9" s="1"/>
  <c r="O25" i="10"/>
  <c r="O25" i="9" s="1"/>
  <c r="N25" i="10"/>
  <c r="N25" i="9"/>
  <c r="M25" i="10"/>
  <c r="M25" i="9" s="1"/>
  <c r="L25" i="10"/>
  <c r="L25" i="9" s="1"/>
  <c r="K25" i="10"/>
  <c r="K25" i="9"/>
  <c r="O24" i="10"/>
  <c r="O24" i="9" s="1"/>
  <c r="N24" i="10"/>
  <c r="N24" i="9" s="1"/>
  <c r="M24" i="10"/>
  <c r="M24" i="9"/>
  <c r="L24" i="10"/>
  <c r="L24" i="9"/>
  <c r="K24" i="10"/>
  <c r="K24" i="9"/>
  <c r="O23" i="10"/>
  <c r="O23" i="9" s="1"/>
  <c r="N23" i="10"/>
  <c r="N23" i="9" s="1"/>
  <c r="M23" i="10"/>
  <c r="M23" i="9"/>
  <c r="L23" i="10"/>
  <c r="L23" i="9"/>
  <c r="K23" i="10"/>
  <c r="K23" i="9" s="1"/>
  <c r="O22" i="10"/>
  <c r="O22" i="9" s="1"/>
  <c r="N22" i="10"/>
  <c r="N22" i="9" s="1"/>
  <c r="M22" i="10"/>
  <c r="M22" i="9"/>
  <c r="L22" i="10"/>
  <c r="L22" i="9" s="1"/>
  <c r="K22" i="10"/>
  <c r="K22" i="9" s="1"/>
  <c r="O21" i="10"/>
  <c r="O21" i="9" s="1"/>
  <c r="N21" i="10"/>
  <c r="N21" i="9" s="1"/>
  <c r="M21" i="10"/>
  <c r="M21" i="9" s="1"/>
  <c r="L21" i="10"/>
  <c r="L21" i="9"/>
  <c r="K21" i="10"/>
  <c r="K21" i="9" s="1"/>
  <c r="O20" i="10"/>
  <c r="O20" i="9" s="1"/>
  <c r="N20" i="10"/>
  <c r="N20" i="9" s="1"/>
  <c r="M20" i="10"/>
  <c r="M20" i="9" s="1"/>
  <c r="L20" i="10"/>
  <c r="L20" i="9"/>
  <c r="K20" i="10"/>
  <c r="K20" i="9"/>
  <c r="O19" i="10"/>
  <c r="O19" i="9" s="1"/>
  <c r="N19" i="10"/>
  <c r="N19" i="9"/>
  <c r="M19" i="10"/>
  <c r="M19" i="9" s="1"/>
  <c r="L19" i="10"/>
  <c r="L19" i="9" s="1"/>
  <c r="K19" i="10"/>
  <c r="K19" i="9" s="1"/>
  <c r="O18" i="10"/>
  <c r="O18" i="9" s="1"/>
  <c r="N18" i="10"/>
  <c r="N18" i="9"/>
  <c r="M18" i="10"/>
  <c r="M18" i="9" s="1"/>
  <c r="L18" i="10"/>
  <c r="L18" i="9" s="1"/>
  <c r="K18" i="10"/>
  <c r="K18" i="9" s="1"/>
  <c r="O17" i="10"/>
  <c r="O17" i="9" s="1"/>
  <c r="N17" i="10"/>
  <c r="N17" i="9"/>
  <c r="M17" i="10"/>
  <c r="M17" i="9" s="1"/>
  <c r="L17" i="10"/>
  <c r="L17" i="9" s="1"/>
  <c r="K17" i="10"/>
  <c r="K17" i="9"/>
  <c r="O16" i="10"/>
  <c r="O16" i="9" s="1"/>
  <c r="N16" i="10"/>
  <c r="N16" i="9" s="1"/>
  <c r="M16" i="10"/>
  <c r="M16" i="9" s="1"/>
  <c r="L16" i="10"/>
  <c r="L16" i="9"/>
  <c r="K16" i="10"/>
  <c r="K16" i="9" s="1"/>
  <c r="O15" i="10"/>
  <c r="O15" i="9" s="1"/>
  <c r="N15" i="10"/>
  <c r="N15" i="9" s="1"/>
  <c r="M15" i="10"/>
  <c r="M15" i="9" s="1"/>
  <c r="L15" i="10"/>
  <c r="L15" i="9"/>
  <c r="K15" i="10"/>
  <c r="K15" i="9" s="1"/>
  <c r="O14" i="10"/>
  <c r="O14" i="9" s="1"/>
  <c r="N14" i="10"/>
  <c r="N14" i="9"/>
  <c r="M14" i="10"/>
  <c r="M14" i="9"/>
  <c r="L14" i="10"/>
  <c r="L14" i="9" s="1"/>
  <c r="K14" i="10"/>
  <c r="K14" i="9" s="1"/>
  <c r="O13" i="10"/>
  <c r="O13" i="9" s="1"/>
  <c r="N13" i="10"/>
  <c r="N13" i="9"/>
  <c r="M13" i="10"/>
  <c r="M13" i="9" s="1"/>
  <c r="L13" i="10"/>
  <c r="L13" i="9" s="1"/>
  <c r="K13" i="10"/>
  <c r="K13" i="9" s="1"/>
  <c r="O12" i="10"/>
  <c r="O12" i="9"/>
  <c r="N12" i="10"/>
  <c r="N12" i="9" s="1"/>
  <c r="M12" i="10"/>
  <c r="M12" i="9" s="1"/>
  <c r="L12" i="10"/>
  <c r="L12" i="9"/>
  <c r="K12" i="10"/>
  <c r="K12" i="9" s="1"/>
  <c r="O11" i="10"/>
  <c r="O11" i="9" s="1"/>
  <c r="N11" i="10"/>
  <c r="N11" i="9"/>
  <c r="M11" i="10"/>
  <c r="M11" i="9"/>
  <c r="L11" i="10"/>
  <c r="L11" i="9"/>
  <c r="K11" i="10"/>
  <c r="K11" i="9" s="1"/>
  <c r="O10" i="10"/>
  <c r="O10" i="9" s="1"/>
  <c r="N10" i="10"/>
  <c r="N10" i="9"/>
  <c r="M10" i="10"/>
  <c r="M10" i="9"/>
  <c r="L10" i="10"/>
  <c r="L10" i="9" s="1"/>
  <c r="K10" i="10"/>
  <c r="K10" i="9" s="1"/>
  <c r="O9" i="10"/>
  <c r="O9" i="9" s="1"/>
  <c r="N9" i="10"/>
  <c r="N9" i="9" s="1"/>
  <c r="M9" i="10"/>
  <c r="M9" i="9" s="1"/>
  <c r="L9" i="10"/>
  <c r="L9" i="9" s="1"/>
  <c r="K9" i="10"/>
  <c r="K9" i="9" s="1"/>
  <c r="O8" i="10"/>
  <c r="O8" i="9" s="1"/>
  <c r="N8" i="10"/>
  <c r="N8" i="9" s="1"/>
  <c r="M8" i="10"/>
  <c r="M8" i="9"/>
  <c r="L8" i="10"/>
  <c r="L8" i="9"/>
  <c r="K8" i="10"/>
  <c r="K8" i="9" s="1"/>
  <c r="O7" i="10"/>
  <c r="O7" i="9" s="1"/>
  <c r="N7" i="10"/>
  <c r="N7" i="9" s="1"/>
  <c r="M7" i="10"/>
  <c r="M7" i="9"/>
  <c r="L7" i="10"/>
  <c r="L7" i="9"/>
  <c r="K7" i="10"/>
  <c r="K7" i="9" s="1"/>
  <c r="O6" i="10"/>
  <c r="O6" i="9" s="1"/>
  <c r="N6" i="10"/>
  <c r="N6" i="9" s="1"/>
  <c r="M6" i="10"/>
  <c r="M6" i="9"/>
  <c r="L6" i="10"/>
  <c r="L6" i="9" s="1"/>
  <c r="K6" i="10"/>
  <c r="K6" i="9" s="1"/>
  <c r="O5" i="10"/>
  <c r="O5" i="9" s="1"/>
  <c r="N5" i="10"/>
  <c r="N5" i="9" s="1"/>
  <c r="M5" i="10"/>
  <c r="M5" i="9" s="1"/>
  <c r="L5" i="10"/>
  <c r="L5" i="9" s="1"/>
  <c r="K5" i="10"/>
  <c r="K5" i="9" s="1"/>
  <c r="O4" i="10"/>
  <c r="O4" i="9"/>
  <c r="N4" i="10"/>
  <c r="N4" i="9" s="1"/>
  <c r="M4" i="10"/>
  <c r="M4" i="9" s="1"/>
  <c r="L4" i="10"/>
  <c r="L4" i="9"/>
  <c r="K4" i="10"/>
  <c r="K4" i="9" s="1"/>
  <c r="O3" i="10"/>
  <c r="O3" i="9" s="1"/>
  <c r="N3" i="10"/>
  <c r="N3" i="9" s="1"/>
  <c r="M3" i="10"/>
  <c r="M3" i="9"/>
  <c r="L3" i="10"/>
  <c r="L3" i="9" s="1"/>
  <c r="K3" i="10"/>
  <c r="K3" i="9" s="1"/>
  <c r="O2" i="10"/>
  <c r="O2" i="9" s="1"/>
  <c r="N2" i="10"/>
  <c r="N2" i="9" s="1"/>
  <c r="M2" i="10"/>
  <c r="M2" i="9"/>
  <c r="L2" i="10"/>
  <c r="L2" i="9" s="1"/>
  <c r="K2" i="10"/>
  <c r="K2" i="9" s="1"/>
  <c r="O1" i="10"/>
  <c r="O1" i="9"/>
  <c r="N1" i="10"/>
  <c r="N1" i="9"/>
  <c r="M1" i="10"/>
  <c r="M1" i="9" s="1"/>
  <c r="L1" i="10"/>
  <c r="L1" i="9" s="1"/>
  <c r="K1" i="10"/>
  <c r="K1" i="9" s="1"/>
  <c r="J49" i="10"/>
  <c r="J49" i="9"/>
  <c r="I49" i="10"/>
  <c r="I49" i="9" s="1"/>
  <c r="H49" i="10"/>
  <c r="H49" i="9" s="1"/>
  <c r="G49" i="10"/>
  <c r="G49" i="9" s="1"/>
  <c r="F49" i="10"/>
  <c r="F49" i="9"/>
  <c r="J48" i="10"/>
  <c r="J48" i="9" s="1"/>
  <c r="I48" i="10"/>
  <c r="I48" i="9" s="1"/>
  <c r="H48" i="10"/>
  <c r="H48" i="9"/>
  <c r="G48" i="10"/>
  <c r="G48" i="9" s="1"/>
  <c r="F48" i="10"/>
  <c r="F48" i="9" s="1"/>
  <c r="J47" i="10"/>
  <c r="J47" i="9"/>
  <c r="I47" i="10"/>
  <c r="I47" i="9"/>
  <c r="H47" i="10"/>
  <c r="H47" i="9"/>
  <c r="G47" i="10"/>
  <c r="G47" i="9" s="1"/>
  <c r="F47" i="10"/>
  <c r="F47" i="9" s="1"/>
  <c r="J46" i="10"/>
  <c r="J46" i="9"/>
  <c r="I46" i="10"/>
  <c r="I46" i="9"/>
  <c r="H46" i="10"/>
  <c r="H46" i="9" s="1"/>
  <c r="G46" i="10"/>
  <c r="G46" i="9" s="1"/>
  <c r="F46" i="10"/>
  <c r="F46" i="9" s="1"/>
  <c r="J45" i="10"/>
  <c r="J45" i="9"/>
  <c r="I45" i="10"/>
  <c r="I45" i="9" s="1"/>
  <c r="H45" i="10"/>
  <c r="H45" i="9" s="1"/>
  <c r="G45" i="10"/>
  <c r="G45" i="9" s="1"/>
  <c r="F45" i="10"/>
  <c r="F45" i="9" s="1"/>
  <c r="J44" i="10"/>
  <c r="J44" i="9" s="1"/>
  <c r="I44" i="10"/>
  <c r="I44" i="9"/>
  <c r="H44" i="10"/>
  <c r="H44" i="9" s="1"/>
  <c r="G44" i="10"/>
  <c r="G44" i="9" s="1"/>
  <c r="F44" i="10"/>
  <c r="F44" i="9" s="1"/>
  <c r="J43" i="10"/>
  <c r="J43" i="9" s="1"/>
  <c r="I43" i="10"/>
  <c r="I43" i="9"/>
  <c r="H43" i="10"/>
  <c r="H43" i="9"/>
  <c r="G43" i="10"/>
  <c r="G43" i="9" s="1"/>
  <c r="F43" i="10"/>
  <c r="F43" i="9" s="1"/>
  <c r="J42" i="10"/>
  <c r="J42" i="9" s="1"/>
  <c r="I42" i="10"/>
  <c r="I42" i="9"/>
  <c r="H42" i="10"/>
  <c r="H42" i="9" s="1"/>
  <c r="G42" i="10"/>
  <c r="G42" i="9" s="1"/>
  <c r="F42" i="10"/>
  <c r="F42" i="9" s="1"/>
  <c r="J41" i="10"/>
  <c r="J41" i="9" s="1"/>
  <c r="I41" i="10"/>
  <c r="I41" i="9" s="1"/>
  <c r="H41" i="10"/>
  <c r="H41" i="9" s="1"/>
  <c r="G41" i="10"/>
  <c r="G41" i="9" s="1"/>
  <c r="F41" i="10"/>
  <c r="F41" i="9"/>
  <c r="J40" i="10"/>
  <c r="J40" i="9" s="1"/>
  <c r="I40" i="10"/>
  <c r="I40" i="9" s="1"/>
  <c r="H40" i="10"/>
  <c r="H40" i="9"/>
  <c r="G40" i="10"/>
  <c r="G40" i="9" s="1"/>
  <c r="F40" i="10"/>
  <c r="F40" i="9" s="1"/>
  <c r="J39" i="10"/>
  <c r="J39" i="9" s="1"/>
  <c r="I39" i="10"/>
  <c r="I39" i="9"/>
  <c r="H39" i="10"/>
  <c r="H39" i="9" s="1"/>
  <c r="G39" i="10"/>
  <c r="G39" i="9" s="1"/>
  <c r="F39" i="10"/>
  <c r="F39" i="9" s="1"/>
  <c r="J38" i="10"/>
  <c r="J38" i="9" s="1"/>
  <c r="I38" i="10"/>
  <c r="I38" i="9" s="1"/>
  <c r="H38" i="10"/>
  <c r="H38" i="9" s="1"/>
  <c r="G38" i="10"/>
  <c r="G38" i="9" s="1"/>
  <c r="F38" i="10"/>
  <c r="F38" i="9"/>
  <c r="J37" i="10"/>
  <c r="J37" i="9"/>
  <c r="I37" i="10"/>
  <c r="I37" i="9" s="1"/>
  <c r="H37" i="10"/>
  <c r="H37" i="9" s="1"/>
  <c r="G37" i="10"/>
  <c r="G37" i="9" s="1"/>
  <c r="F37" i="10"/>
  <c r="F37" i="9"/>
  <c r="J36" i="10"/>
  <c r="J36" i="9" s="1"/>
  <c r="I36" i="10"/>
  <c r="I36" i="9" s="1"/>
  <c r="H36" i="10"/>
  <c r="H36" i="9" s="1"/>
  <c r="G36" i="10"/>
  <c r="G36" i="9"/>
  <c r="F36" i="10"/>
  <c r="F36" i="9" s="1"/>
  <c r="J35" i="10"/>
  <c r="J35" i="9" s="1"/>
  <c r="I35" i="10"/>
  <c r="I35" i="9"/>
  <c r="H35" i="10"/>
  <c r="H35" i="9" s="1"/>
  <c r="G35" i="10"/>
  <c r="G35" i="9" s="1"/>
  <c r="F35" i="10"/>
  <c r="F35" i="9"/>
  <c r="J34" i="10"/>
  <c r="J34" i="9"/>
  <c r="I34" i="10"/>
  <c r="I34" i="9"/>
  <c r="H34" i="10"/>
  <c r="H34" i="9" s="1"/>
  <c r="G34" i="10"/>
  <c r="G34" i="9" s="1"/>
  <c r="F34" i="10"/>
  <c r="F34" i="9"/>
  <c r="J33" i="10"/>
  <c r="J33" i="9"/>
  <c r="I33" i="10"/>
  <c r="I33" i="9" s="1"/>
  <c r="H33" i="10"/>
  <c r="H33" i="9" s="1"/>
  <c r="G33" i="10"/>
  <c r="G33" i="9" s="1"/>
  <c r="F33" i="10"/>
  <c r="F33" i="9" s="1"/>
  <c r="J32" i="10"/>
  <c r="J32" i="9" s="1"/>
  <c r="I32" i="10"/>
  <c r="I32" i="9" s="1"/>
  <c r="H32" i="10"/>
  <c r="H32" i="9" s="1"/>
  <c r="G32" i="10"/>
  <c r="G32" i="9" s="1"/>
  <c r="F32" i="10"/>
  <c r="F32" i="9" s="1"/>
  <c r="J31" i="10"/>
  <c r="J31" i="9"/>
  <c r="I31" i="10"/>
  <c r="I31" i="9" s="1"/>
  <c r="H31" i="10"/>
  <c r="H31" i="9" s="1"/>
  <c r="G31" i="10"/>
  <c r="G31" i="9" s="1"/>
  <c r="F31" i="10"/>
  <c r="F31" i="9" s="1"/>
  <c r="J30" i="10"/>
  <c r="J30" i="9"/>
  <c r="I30" i="10"/>
  <c r="I30" i="9"/>
  <c r="H30" i="10"/>
  <c r="H30" i="9" s="1"/>
  <c r="G30" i="10"/>
  <c r="G30" i="9" s="1"/>
  <c r="F30" i="10"/>
  <c r="F30" i="9" s="1"/>
  <c r="J29" i="10"/>
  <c r="J29" i="9"/>
  <c r="I29" i="10"/>
  <c r="I29" i="9" s="1"/>
  <c r="H29" i="10"/>
  <c r="H29" i="9" s="1"/>
  <c r="G29" i="10"/>
  <c r="G29" i="9" s="1"/>
  <c r="F29" i="10"/>
  <c r="F29" i="9" s="1"/>
  <c r="J28" i="10"/>
  <c r="J28" i="9" s="1"/>
  <c r="I28" i="10"/>
  <c r="I28" i="9" s="1"/>
  <c r="H28" i="10"/>
  <c r="H28" i="9" s="1"/>
  <c r="G28" i="10"/>
  <c r="G28" i="9"/>
  <c r="F28" i="10"/>
  <c r="F28" i="9" s="1"/>
  <c r="J27" i="10"/>
  <c r="J27" i="9" s="1"/>
  <c r="I27" i="10"/>
  <c r="I27" i="9"/>
  <c r="H27" i="10"/>
  <c r="H27" i="9" s="1"/>
  <c r="G27" i="10"/>
  <c r="G27" i="9" s="1"/>
  <c r="F27" i="10"/>
  <c r="F27" i="9" s="1"/>
  <c r="J26" i="10"/>
  <c r="J26" i="9" s="1"/>
  <c r="I26" i="10"/>
  <c r="I26" i="9" s="1"/>
  <c r="H26" i="10"/>
  <c r="H26" i="9" s="1"/>
  <c r="G26" i="10"/>
  <c r="G26" i="9" s="1"/>
  <c r="F26" i="10"/>
  <c r="F26" i="9"/>
  <c r="J25" i="10"/>
  <c r="J25" i="9"/>
  <c r="I25" i="10"/>
  <c r="I25" i="9" s="1"/>
  <c r="H25" i="10"/>
  <c r="H25" i="9" s="1"/>
  <c r="G25" i="10"/>
  <c r="G25" i="9"/>
  <c r="F25" i="10"/>
  <c r="F25" i="9"/>
  <c r="J24" i="10"/>
  <c r="J24" i="9" s="1"/>
  <c r="I24" i="10"/>
  <c r="I24" i="9" s="1"/>
  <c r="H24" i="10"/>
  <c r="H24" i="9" s="1"/>
  <c r="G24" i="10"/>
  <c r="G24" i="9"/>
  <c r="F24" i="10"/>
  <c r="F24" i="9" s="1"/>
  <c r="J23" i="10"/>
  <c r="J23" i="9"/>
  <c r="I23" i="10"/>
  <c r="I23" i="9" s="1"/>
  <c r="H23" i="10"/>
  <c r="H23" i="9" s="1"/>
  <c r="G23" i="10"/>
  <c r="G23" i="9" s="1"/>
  <c r="F23" i="10"/>
  <c r="F23" i="9" s="1"/>
  <c r="J22" i="10"/>
  <c r="J22" i="9" s="1"/>
  <c r="I22" i="10"/>
  <c r="I22" i="9" s="1"/>
  <c r="H22" i="10"/>
  <c r="H22" i="9" s="1"/>
  <c r="G22" i="10"/>
  <c r="G22" i="9"/>
  <c r="F22" i="10"/>
  <c r="F22" i="9"/>
  <c r="J21" i="10"/>
  <c r="J21" i="9" s="1"/>
  <c r="I21" i="10"/>
  <c r="I21" i="9" s="1"/>
  <c r="H21" i="10"/>
  <c r="H21" i="9" s="1"/>
  <c r="G21" i="10"/>
  <c r="G21" i="9"/>
  <c r="F21" i="10"/>
  <c r="F21" i="9"/>
  <c r="J20" i="10"/>
  <c r="J20" i="9" s="1"/>
  <c r="I20" i="10"/>
  <c r="I20" i="9" s="1"/>
  <c r="H20" i="10"/>
  <c r="H20" i="9" s="1"/>
  <c r="G20" i="10"/>
  <c r="G20" i="9" s="1"/>
  <c r="F20" i="10"/>
  <c r="F20" i="9" s="1"/>
  <c r="J19" i="10"/>
  <c r="J19" i="9" s="1"/>
  <c r="I19" i="10"/>
  <c r="I19" i="9" s="1"/>
  <c r="H19" i="10"/>
  <c r="H19" i="9" s="1"/>
  <c r="G19" i="10"/>
  <c r="G19" i="9" s="1"/>
  <c r="F19" i="10"/>
  <c r="F19" i="9"/>
  <c r="J18" i="10"/>
  <c r="J18" i="9"/>
  <c r="I18" i="10"/>
  <c r="I18" i="9" s="1"/>
  <c r="H18" i="10"/>
  <c r="H18" i="9" s="1"/>
  <c r="G18" i="10"/>
  <c r="G18" i="9" s="1"/>
  <c r="F18" i="10"/>
  <c r="F18" i="9"/>
  <c r="J17" i="10"/>
  <c r="J17" i="9" s="1"/>
  <c r="I17" i="10"/>
  <c r="I17" i="9" s="1"/>
  <c r="H17" i="10"/>
  <c r="H17" i="9" s="1"/>
  <c r="G17" i="10"/>
  <c r="G17" i="9"/>
  <c r="F17" i="10"/>
  <c r="F17" i="9"/>
  <c r="J16" i="10"/>
  <c r="J16" i="9" s="1"/>
  <c r="I16" i="10"/>
  <c r="I16" i="9" s="1"/>
  <c r="H16" i="10"/>
  <c r="H16" i="9" s="1"/>
  <c r="G16" i="10"/>
  <c r="G16" i="9"/>
  <c r="F16" i="10"/>
  <c r="F16" i="9" s="1"/>
  <c r="J15" i="10"/>
  <c r="J15" i="9"/>
  <c r="I15" i="10"/>
  <c r="I15" i="9" s="1"/>
  <c r="H15" i="10"/>
  <c r="H15" i="9"/>
  <c r="G15" i="10"/>
  <c r="G15" i="9" s="1"/>
  <c r="F15" i="10"/>
  <c r="F15" i="9" s="1"/>
  <c r="J14" i="10"/>
  <c r="J14" i="9" s="1"/>
  <c r="I14" i="10"/>
  <c r="I14" i="9" s="1"/>
  <c r="H14" i="10"/>
  <c r="H14" i="9" s="1"/>
  <c r="G14" i="10"/>
  <c r="G14" i="9"/>
  <c r="F14" i="10"/>
  <c r="F14" i="9"/>
  <c r="J13" i="10"/>
  <c r="J13" i="9" s="1"/>
  <c r="I13" i="10"/>
  <c r="I13" i="9" s="1"/>
  <c r="H13" i="10"/>
  <c r="H13" i="9" s="1"/>
  <c r="G13" i="10"/>
  <c r="G13" i="9" s="1"/>
  <c r="F13" i="10"/>
  <c r="F13" i="9" s="1"/>
  <c r="J12" i="10"/>
  <c r="J12" i="9" s="1"/>
  <c r="I12" i="10"/>
  <c r="I12" i="9" s="1"/>
  <c r="H12" i="10"/>
  <c r="H12" i="9"/>
  <c r="G12" i="10"/>
  <c r="G12" i="9" s="1"/>
  <c r="F12" i="10"/>
  <c r="F12" i="9" s="1"/>
  <c r="J11" i="10"/>
  <c r="J11" i="9" s="1"/>
  <c r="I11" i="10"/>
  <c r="I11" i="9" s="1"/>
  <c r="H11" i="10"/>
  <c r="H11" i="9"/>
  <c r="G11" i="10"/>
  <c r="G11" i="9" s="1"/>
  <c r="F11" i="10"/>
  <c r="F11" i="9" s="1"/>
  <c r="J10" i="10"/>
  <c r="J10" i="9" s="1"/>
  <c r="I10" i="10"/>
  <c r="I10" i="9" s="1"/>
  <c r="H10" i="10"/>
  <c r="H10" i="9" s="1"/>
  <c r="G10" i="10"/>
  <c r="G10" i="9" s="1"/>
  <c r="F10" i="10"/>
  <c r="F10" i="9"/>
  <c r="J9" i="10"/>
  <c r="J9" i="9"/>
  <c r="I9" i="10"/>
  <c r="I9" i="9" s="1"/>
  <c r="H9" i="10"/>
  <c r="H9" i="9"/>
  <c r="G9" i="10"/>
  <c r="G9" i="9"/>
  <c r="F9" i="10"/>
  <c r="F9" i="9" s="1"/>
  <c r="J8" i="10"/>
  <c r="J8" i="9" s="1"/>
  <c r="I8" i="10"/>
  <c r="I8" i="9" s="1"/>
  <c r="H8" i="10"/>
  <c r="H8" i="9"/>
  <c r="G8" i="10"/>
  <c r="G8" i="9"/>
  <c r="F8" i="10"/>
  <c r="F8" i="9" s="1"/>
  <c r="J7" i="10"/>
  <c r="J7" i="9"/>
  <c r="I7" i="10"/>
  <c r="I7" i="9" s="1"/>
  <c r="H7" i="10"/>
  <c r="H7" i="9"/>
  <c r="G7" i="10"/>
  <c r="G7" i="9" s="1"/>
  <c r="F7" i="10"/>
  <c r="F7" i="9" s="1"/>
  <c r="J6" i="10"/>
  <c r="J6" i="9" s="1"/>
  <c r="I6" i="10"/>
  <c r="I6" i="9" s="1"/>
  <c r="H6" i="10"/>
  <c r="H6" i="9" s="1"/>
  <c r="G6" i="10"/>
  <c r="G6" i="9"/>
  <c r="F6" i="10"/>
  <c r="F6" i="9"/>
  <c r="J5" i="10"/>
  <c r="J5" i="9" s="1"/>
  <c r="I5" i="10"/>
  <c r="I5" i="9" s="1"/>
  <c r="H5" i="10"/>
  <c r="H5" i="9" s="1"/>
  <c r="G5" i="10"/>
  <c r="G5" i="9"/>
  <c r="F5" i="10"/>
  <c r="F5" i="9" s="1"/>
  <c r="J4" i="10"/>
  <c r="J4" i="9" s="1"/>
  <c r="I4" i="10"/>
  <c r="I4" i="9" s="1"/>
  <c r="H4" i="10"/>
  <c r="H4" i="9"/>
  <c r="G4" i="10"/>
  <c r="G4" i="9"/>
  <c r="F4" i="10"/>
  <c r="F4" i="9" s="1"/>
  <c r="J3" i="10"/>
  <c r="J3" i="9" s="1"/>
  <c r="I3" i="10"/>
  <c r="I3" i="9"/>
  <c r="H3" i="10"/>
  <c r="H3" i="9"/>
  <c r="G3" i="10"/>
  <c r="G3" i="9" s="1"/>
  <c r="F3" i="10"/>
  <c r="F3" i="9"/>
  <c r="J2" i="10"/>
  <c r="J2" i="9"/>
  <c r="I2" i="10"/>
  <c r="I2" i="9" s="1"/>
  <c r="H2" i="10"/>
  <c r="H2" i="9" s="1"/>
  <c r="G2" i="10"/>
  <c r="G2" i="9" s="1"/>
  <c r="F2" i="10"/>
  <c r="F2" i="9"/>
  <c r="J1" i="10"/>
  <c r="J1" i="9"/>
  <c r="I1" i="10"/>
  <c r="I1" i="9" s="1"/>
  <c r="H1" i="10"/>
  <c r="H1" i="9"/>
  <c r="G1" i="10"/>
  <c r="G1" i="9"/>
  <c r="F1" i="10"/>
  <c r="F1" i="9" s="1"/>
  <c r="E70" i="10"/>
  <c r="E70" i="9" s="1"/>
  <c r="D70" i="10"/>
  <c r="D70" i="9" s="1"/>
  <c r="C70" i="10"/>
  <c r="C70" i="9"/>
  <c r="B70" i="10"/>
  <c r="B70" i="9"/>
  <c r="A70" i="10"/>
  <c r="A70" i="9" s="1"/>
  <c r="E69" i="10"/>
  <c r="E69" i="9"/>
  <c r="D69" i="10"/>
  <c r="D69" i="9" s="1"/>
  <c r="C69" i="10"/>
  <c r="C69" i="9" s="1"/>
  <c r="B69" i="10"/>
  <c r="B69" i="9" s="1"/>
  <c r="A69" i="10"/>
  <c r="A69" i="9" s="1"/>
  <c r="E68" i="10"/>
  <c r="E68" i="9"/>
  <c r="D68" i="10"/>
  <c r="D68" i="9" s="1"/>
  <c r="C68" i="10"/>
  <c r="C68" i="9" s="1"/>
  <c r="B68" i="10"/>
  <c r="B68" i="9"/>
  <c r="A68" i="10"/>
  <c r="A68" i="9" s="1"/>
  <c r="E67" i="10"/>
  <c r="E67" i="9"/>
  <c r="D67" i="10"/>
  <c r="D67" i="9" s="1"/>
  <c r="C67" i="10"/>
  <c r="C67" i="9" s="1"/>
  <c r="B67" i="10"/>
  <c r="B67" i="9"/>
  <c r="A67" i="10"/>
  <c r="A67" i="9" s="1"/>
  <c r="E66" i="10"/>
  <c r="E66" i="9" s="1"/>
  <c r="D66" i="10"/>
  <c r="D66" i="9" s="1"/>
  <c r="C66" i="10"/>
  <c r="C66" i="9" s="1"/>
  <c r="B66" i="10"/>
  <c r="B66" i="9"/>
  <c r="A66" i="10"/>
  <c r="A66" i="9" s="1"/>
  <c r="E65" i="10"/>
  <c r="E65" i="9" s="1"/>
  <c r="D65" i="10"/>
  <c r="D65" i="9" s="1"/>
  <c r="C65" i="10"/>
  <c r="C65" i="9" s="1"/>
  <c r="B65" i="10"/>
  <c r="B65" i="9" s="1"/>
  <c r="A65" i="10"/>
  <c r="A65" i="9" s="1"/>
  <c r="E64" i="10"/>
  <c r="E64" i="9"/>
  <c r="D64" i="10"/>
  <c r="D64" i="9"/>
  <c r="C64" i="10"/>
  <c r="C64" i="9" s="1"/>
  <c r="B64" i="10"/>
  <c r="B64" i="9" s="1"/>
  <c r="A64" i="10"/>
  <c r="A64" i="9" s="1"/>
  <c r="E63" i="10"/>
  <c r="E63" i="9"/>
  <c r="D63" i="10"/>
  <c r="D63" i="9" s="1"/>
  <c r="C63" i="10"/>
  <c r="C63" i="9" s="1"/>
  <c r="B63" i="10"/>
  <c r="B63" i="9"/>
  <c r="A63" i="10"/>
  <c r="A63" i="9"/>
  <c r="E62" i="10"/>
  <c r="E62" i="9" s="1"/>
  <c r="D62" i="10"/>
  <c r="D62" i="9" s="1"/>
  <c r="C62" i="10"/>
  <c r="C62" i="9" s="1"/>
  <c r="B62" i="10"/>
  <c r="B62" i="9"/>
  <c r="A62" i="10"/>
  <c r="A62" i="9" s="1"/>
  <c r="E61" i="10"/>
  <c r="E61" i="9"/>
  <c r="D61" i="10"/>
  <c r="D61" i="9"/>
  <c r="C61" i="10"/>
  <c r="C61" i="9"/>
  <c r="B61" i="10"/>
  <c r="B61" i="9" s="1"/>
  <c r="A61" i="10"/>
  <c r="A61" i="9" s="1"/>
  <c r="E60" i="10"/>
  <c r="E60" i="9"/>
  <c r="D60" i="10"/>
  <c r="D60" i="9"/>
  <c r="C60" i="10"/>
  <c r="C60" i="9" s="1"/>
  <c r="B60" i="10"/>
  <c r="B60" i="9"/>
  <c r="A60" i="10"/>
  <c r="A60" i="9"/>
  <c r="E59" i="10"/>
  <c r="E59" i="9" s="1"/>
  <c r="D59" i="10"/>
  <c r="D59" i="9" s="1"/>
  <c r="C59" i="10"/>
  <c r="C59" i="9" s="1"/>
  <c r="B59" i="10"/>
  <c r="B59" i="9"/>
  <c r="A59" i="10"/>
  <c r="A59" i="9"/>
  <c r="E58" i="10"/>
  <c r="E58" i="9" s="1"/>
  <c r="D58" i="10"/>
  <c r="D58" i="9"/>
  <c r="C58" i="10"/>
  <c r="C58" i="9"/>
  <c r="B58" i="10"/>
  <c r="B58" i="9" s="1"/>
  <c r="A58" i="10"/>
  <c r="A58" i="9" s="1"/>
  <c r="E57" i="10"/>
  <c r="E57" i="9" s="1"/>
  <c r="D57" i="10"/>
  <c r="D57" i="9"/>
  <c r="C57" i="10"/>
  <c r="C57" i="9"/>
  <c r="B57" i="10"/>
  <c r="B57" i="9" s="1"/>
  <c r="A57" i="10"/>
  <c r="A57" i="9"/>
  <c r="E56" i="10"/>
  <c r="E56" i="9" s="1"/>
  <c r="D56" i="10"/>
  <c r="D56" i="9" s="1"/>
  <c r="C56" i="10"/>
  <c r="C56" i="9" s="1"/>
  <c r="B56" i="10"/>
  <c r="B56" i="9" s="1"/>
  <c r="A56" i="10"/>
  <c r="A56" i="9"/>
  <c r="E55" i="10"/>
  <c r="E55" i="9" s="1"/>
  <c r="D55" i="10"/>
  <c r="D55" i="9" s="1"/>
  <c r="C55" i="10"/>
  <c r="C55" i="9"/>
  <c r="B55" i="10"/>
  <c r="B55" i="9" s="1"/>
  <c r="A55" i="10"/>
  <c r="A55" i="9"/>
  <c r="E54" i="10"/>
  <c r="E54" i="9" s="1"/>
  <c r="D54" i="10"/>
  <c r="D54" i="9" s="1"/>
  <c r="C54" i="10"/>
  <c r="C54" i="9"/>
  <c r="B54" i="10"/>
  <c r="B54" i="9" s="1"/>
  <c r="A54" i="10"/>
  <c r="A54" i="9" s="1"/>
  <c r="E53" i="10"/>
  <c r="E53" i="9" s="1"/>
  <c r="D53" i="10"/>
  <c r="D53" i="9" s="1"/>
  <c r="C53" i="10"/>
  <c r="C53" i="9"/>
  <c r="B53" i="10"/>
  <c r="B53" i="9" s="1"/>
  <c r="A53" i="10"/>
  <c r="A53" i="9" s="1"/>
  <c r="E52" i="10"/>
  <c r="E52" i="9" s="1"/>
  <c r="D52" i="10"/>
  <c r="D52" i="9" s="1"/>
  <c r="C52" i="10"/>
  <c r="C52" i="9" s="1"/>
  <c r="B52" i="10"/>
  <c r="B52" i="9" s="1"/>
  <c r="A52" i="10"/>
  <c r="A52" i="9"/>
  <c r="E51" i="10"/>
  <c r="E51" i="9"/>
  <c r="D51" i="10"/>
  <c r="D51" i="9" s="1"/>
  <c r="C51" i="10"/>
  <c r="C51" i="9" s="1"/>
  <c r="B51" i="10"/>
  <c r="B51" i="9" s="1"/>
  <c r="A51" i="10"/>
  <c r="A51" i="9"/>
  <c r="E50" i="10"/>
  <c r="E50" i="9" s="1"/>
  <c r="D50" i="10"/>
  <c r="D50" i="9" s="1"/>
  <c r="C50" i="10"/>
  <c r="C50" i="9"/>
  <c r="B50" i="10"/>
  <c r="B50" i="9"/>
  <c r="A50" i="10"/>
  <c r="A50" i="9" s="1"/>
  <c r="E49" i="10"/>
  <c r="E49" i="9" s="1"/>
  <c r="D49" i="10"/>
  <c r="D49" i="9" s="1"/>
  <c r="C49" i="10"/>
  <c r="C49" i="9"/>
  <c r="B49" i="10"/>
  <c r="B49" i="9" s="1"/>
  <c r="A49" i="10"/>
  <c r="A49" i="9"/>
  <c r="E48" i="10"/>
  <c r="E48" i="9"/>
  <c r="D48" i="10"/>
  <c r="D48" i="9"/>
  <c r="C48" i="10"/>
  <c r="C48" i="9" s="1"/>
  <c r="B48" i="10"/>
  <c r="B48" i="9" s="1"/>
  <c r="A48" i="10"/>
  <c r="A48" i="9"/>
  <c r="E47" i="10"/>
  <c r="E47" i="9"/>
  <c r="D47" i="10"/>
  <c r="D47" i="9" s="1"/>
  <c r="C47" i="10"/>
  <c r="C47" i="9"/>
  <c r="B47" i="10"/>
  <c r="B47" i="9"/>
  <c r="A47" i="10"/>
  <c r="A47" i="9" s="1"/>
  <c r="E46" i="10"/>
  <c r="E46" i="9" s="1"/>
  <c r="D46" i="10"/>
  <c r="D46" i="9" s="1"/>
  <c r="C46" i="10"/>
  <c r="C46" i="9"/>
  <c r="B46" i="10"/>
  <c r="B46" i="9"/>
  <c r="A46" i="10"/>
  <c r="A46" i="9" s="1"/>
  <c r="E45" i="10"/>
  <c r="E45" i="9"/>
  <c r="D45" i="10"/>
  <c r="D45" i="9"/>
  <c r="C45" i="10"/>
  <c r="C45" i="9" s="1"/>
  <c r="B45" i="10"/>
  <c r="B45" i="9" s="1"/>
  <c r="A45" i="10"/>
  <c r="A45" i="9" s="1"/>
  <c r="E44" i="10"/>
  <c r="E44" i="9"/>
  <c r="D44" i="10"/>
  <c r="D44" i="9"/>
  <c r="C44" i="10"/>
  <c r="C44" i="9" s="1"/>
  <c r="B44" i="10"/>
  <c r="B44" i="9"/>
  <c r="A44" i="10"/>
  <c r="A44" i="9" s="1"/>
  <c r="E43" i="10"/>
  <c r="E43" i="9" s="1"/>
  <c r="D43" i="10"/>
  <c r="D43" i="9" s="1"/>
  <c r="C43" i="10"/>
  <c r="C43" i="9" s="1"/>
  <c r="B43" i="10"/>
  <c r="B43" i="9"/>
  <c r="A43" i="10"/>
  <c r="A43" i="9" s="1"/>
  <c r="E42" i="10"/>
  <c r="E42" i="9" s="1"/>
  <c r="D42" i="10"/>
  <c r="D42" i="9"/>
  <c r="C42" i="10"/>
  <c r="C42" i="9" s="1"/>
  <c r="B42" i="10"/>
  <c r="B42" i="9"/>
  <c r="A42" i="10"/>
  <c r="A42" i="9" s="1"/>
  <c r="E41" i="10"/>
  <c r="E41" i="9" s="1"/>
  <c r="D41" i="10"/>
  <c r="D41" i="9"/>
  <c r="C41" i="10"/>
  <c r="C41" i="9" s="1"/>
  <c r="B41" i="10"/>
  <c r="B41" i="9" s="1"/>
  <c r="A41" i="10"/>
  <c r="A41" i="9" s="1"/>
  <c r="E40" i="10"/>
  <c r="E40" i="9" s="1"/>
  <c r="D40" i="10"/>
  <c r="D40" i="9"/>
  <c r="C40" i="10"/>
  <c r="C40" i="9" s="1"/>
  <c r="B40" i="10"/>
  <c r="B40" i="9" s="1"/>
  <c r="A40" i="10"/>
  <c r="A40" i="9" s="1"/>
  <c r="E39" i="10"/>
  <c r="E39" i="9" s="1"/>
  <c r="D39" i="10"/>
  <c r="D39" i="9" s="1"/>
  <c r="C39" i="10"/>
  <c r="C39" i="9" s="1"/>
  <c r="B39" i="10"/>
  <c r="B39" i="9"/>
  <c r="A39" i="10"/>
  <c r="A39" i="9"/>
  <c r="E38" i="10"/>
  <c r="E38" i="9" s="1"/>
  <c r="D38" i="10"/>
  <c r="D38" i="9" s="1"/>
  <c r="C38" i="10"/>
  <c r="C38" i="9" s="1"/>
  <c r="B38" i="10"/>
  <c r="B38" i="9"/>
  <c r="A38" i="10"/>
  <c r="A38" i="9" s="1"/>
  <c r="E37" i="10"/>
  <c r="E37" i="9" s="1"/>
  <c r="D37" i="10"/>
  <c r="D37" i="9"/>
  <c r="C37" i="10"/>
  <c r="C37" i="9"/>
  <c r="B37" i="10"/>
  <c r="B37" i="9" s="1"/>
  <c r="A37" i="10"/>
  <c r="A37" i="9" s="1"/>
  <c r="E36" i="10"/>
  <c r="E36" i="9" s="1"/>
  <c r="D36" i="10"/>
  <c r="D36" i="9"/>
  <c r="C36" i="10"/>
  <c r="C36" i="9" s="1"/>
  <c r="B36" i="10"/>
  <c r="B36" i="9"/>
  <c r="A36" i="10"/>
  <c r="A36" i="9"/>
  <c r="E35" i="10"/>
  <c r="E35" i="9"/>
  <c r="D35" i="10"/>
  <c r="D35" i="9" s="1"/>
  <c r="C35" i="10"/>
  <c r="C35" i="9" s="1"/>
  <c r="B35" i="10"/>
  <c r="B35" i="9"/>
  <c r="A35" i="10"/>
  <c r="A35" i="9"/>
  <c r="E34" i="10"/>
  <c r="E34" i="9"/>
  <c r="D34" i="10"/>
  <c r="D34" i="9" s="1"/>
  <c r="C34" i="10"/>
  <c r="C34" i="9"/>
  <c r="B34" i="10"/>
  <c r="B34" i="9"/>
  <c r="A34" i="10"/>
  <c r="A34" i="9" s="1"/>
  <c r="E33" i="10"/>
  <c r="E33" i="9" s="1"/>
  <c r="D33" i="10"/>
  <c r="D33" i="9" s="1"/>
  <c r="C33" i="10"/>
  <c r="C33" i="9"/>
  <c r="B33" i="10"/>
  <c r="B33" i="9" s="1"/>
  <c r="A33" i="10"/>
  <c r="A33" i="9" s="1"/>
  <c r="E32" i="10"/>
  <c r="E32" i="9"/>
  <c r="D32" i="10"/>
  <c r="D32" i="9"/>
  <c r="C32" i="10"/>
  <c r="C32" i="9" s="1"/>
  <c r="B32" i="10"/>
  <c r="B32" i="9" s="1"/>
  <c r="A32" i="10"/>
  <c r="A32" i="9"/>
  <c r="E31" i="10"/>
  <c r="E31" i="9" s="1"/>
  <c r="D31" i="10"/>
  <c r="D31" i="9"/>
  <c r="C31" i="10"/>
  <c r="C31" i="9"/>
  <c r="B31" i="10"/>
  <c r="B31" i="9"/>
  <c r="A31" i="10"/>
  <c r="A31" i="9" s="1"/>
  <c r="E30" i="10"/>
  <c r="E30" i="9" s="1"/>
  <c r="D30" i="10"/>
  <c r="D30" i="9" s="1"/>
  <c r="C30" i="10"/>
  <c r="C30" i="9"/>
  <c r="B30" i="10"/>
  <c r="B30" i="9"/>
  <c r="A30" i="10"/>
  <c r="A30" i="9" s="1"/>
  <c r="E29" i="10"/>
  <c r="E29" i="9"/>
  <c r="D29" i="10"/>
  <c r="D29" i="9"/>
  <c r="C29" i="10"/>
  <c r="C29" i="9"/>
  <c r="B29" i="10"/>
  <c r="B29" i="9" s="1"/>
  <c r="A29" i="10"/>
  <c r="A29" i="9" s="1"/>
  <c r="E28" i="10"/>
  <c r="E28" i="9" s="1"/>
  <c r="D28" i="10"/>
  <c r="D28" i="9" s="1"/>
  <c r="C28" i="10"/>
  <c r="C28" i="9" s="1"/>
  <c r="B28" i="10"/>
  <c r="B28" i="9" s="1"/>
  <c r="A28" i="10"/>
  <c r="A28" i="9"/>
  <c r="E27" i="10"/>
  <c r="E27" i="9"/>
  <c r="D27" i="10"/>
  <c r="D27" i="9" s="1"/>
  <c r="C27" i="10"/>
  <c r="C27" i="9" s="1"/>
  <c r="B27" i="10"/>
  <c r="B27" i="9" s="1"/>
  <c r="A27" i="10"/>
  <c r="A27" i="9"/>
  <c r="E26" i="10"/>
  <c r="E26" i="9"/>
  <c r="D26" i="10"/>
  <c r="D26" i="9"/>
  <c r="C26" i="10"/>
  <c r="C26" i="9" s="1"/>
  <c r="B26" i="10"/>
  <c r="B26" i="9"/>
  <c r="A26" i="10"/>
  <c r="A26" i="9"/>
  <c r="E25" i="10"/>
  <c r="E25" i="9" s="1"/>
  <c r="D25" i="10"/>
  <c r="D25" i="9"/>
  <c r="C25" i="10"/>
  <c r="C25" i="9"/>
  <c r="B25" i="10"/>
  <c r="B25" i="9" s="1"/>
  <c r="A25" i="10"/>
  <c r="A25" i="9"/>
  <c r="E24" i="10"/>
  <c r="E24" i="9"/>
  <c r="D24" i="10"/>
  <c r="D24" i="9" s="1"/>
  <c r="C24" i="10"/>
  <c r="C24" i="9" s="1"/>
  <c r="B24" i="10"/>
  <c r="B24" i="9" s="1"/>
  <c r="A24" i="10"/>
  <c r="A24" i="9"/>
  <c r="E23" i="10"/>
  <c r="E23" i="9"/>
  <c r="D23" i="10"/>
  <c r="D23" i="9" s="1"/>
  <c r="C23" i="10"/>
  <c r="C23" i="9"/>
  <c r="B23" i="10"/>
  <c r="B23" i="9" s="1"/>
  <c r="A23" i="10"/>
  <c r="A23" i="9" s="1"/>
  <c r="E22" i="10"/>
  <c r="E22" i="9" s="1"/>
  <c r="D22" i="10"/>
  <c r="D22" i="9" s="1"/>
  <c r="C22" i="10"/>
  <c r="C22" i="9"/>
  <c r="B22" i="10"/>
  <c r="B22" i="9" s="1"/>
  <c r="A22" i="10"/>
  <c r="A22" i="9" s="1"/>
  <c r="E21" i="10"/>
  <c r="E21" i="9"/>
  <c r="D21" i="10"/>
  <c r="D21" i="9" s="1"/>
  <c r="C21" i="10"/>
  <c r="C21" i="9"/>
  <c r="B21" i="10"/>
  <c r="B21" i="9"/>
  <c r="A21" i="10"/>
  <c r="A21" i="9" s="1"/>
  <c r="E20" i="10"/>
  <c r="E20" i="9"/>
  <c r="D20" i="10"/>
  <c r="D20" i="9"/>
  <c r="C20" i="10"/>
  <c r="C20" i="9" s="1"/>
  <c r="B20" i="10"/>
  <c r="B20" i="9" s="1"/>
  <c r="A20" i="10"/>
  <c r="A20" i="9"/>
  <c r="E19" i="10"/>
  <c r="E19" i="9"/>
  <c r="D19" i="10"/>
  <c r="D19" i="9" s="1"/>
  <c r="C19" i="10"/>
  <c r="C19" i="9" s="1"/>
  <c r="B19" i="10"/>
  <c r="B19" i="9" s="1"/>
  <c r="A19" i="10"/>
  <c r="A19" i="9"/>
  <c r="E18" i="10"/>
  <c r="E18" i="9" s="1"/>
  <c r="D18" i="10"/>
  <c r="D18" i="9"/>
  <c r="C18" i="10"/>
  <c r="C18" i="9"/>
  <c r="B18" i="10"/>
  <c r="B18" i="9"/>
  <c r="A18" i="10"/>
  <c r="A18" i="9" s="1"/>
  <c r="E17" i="10"/>
  <c r="E17" i="9" s="1"/>
  <c r="D17" i="10"/>
  <c r="D17" i="9" s="1"/>
  <c r="C17" i="10"/>
  <c r="C17" i="9" s="1"/>
  <c r="B17" i="10"/>
  <c r="B17" i="9"/>
  <c r="A17" i="10"/>
  <c r="A17" i="9"/>
  <c r="E16" i="10"/>
  <c r="E16" i="9" s="1"/>
  <c r="D16" i="10"/>
  <c r="D16" i="9" s="1"/>
  <c r="C16" i="10"/>
  <c r="C16" i="9"/>
  <c r="B16" i="10"/>
  <c r="B16" i="9" s="1"/>
  <c r="A16" i="10"/>
  <c r="A16" i="9"/>
  <c r="E15" i="10"/>
  <c r="E15" i="9"/>
  <c r="D15" i="10"/>
  <c r="D15" i="9" s="1"/>
  <c r="C15" i="10"/>
  <c r="C15" i="9"/>
  <c r="B15" i="10"/>
  <c r="B15" i="9"/>
  <c r="A15" i="10"/>
  <c r="A15" i="9" s="1"/>
  <c r="E14" i="10"/>
  <c r="E14" i="9" s="1"/>
  <c r="D14" i="10"/>
  <c r="D14" i="9" s="1"/>
  <c r="C14" i="10"/>
  <c r="C14" i="9"/>
  <c r="B14" i="10"/>
  <c r="B14" i="9"/>
  <c r="A14" i="10"/>
  <c r="A14" i="9" s="1"/>
  <c r="E13" i="10"/>
  <c r="E13" i="9" s="1"/>
  <c r="D13" i="10"/>
  <c r="D13" i="9"/>
  <c r="C13" i="10"/>
  <c r="C13" i="9"/>
  <c r="B13" i="10"/>
  <c r="B13" i="9" s="1"/>
  <c r="A13" i="10"/>
  <c r="A13" i="9" s="1"/>
  <c r="E12" i="10"/>
  <c r="E12" i="9"/>
  <c r="D12" i="10"/>
  <c r="D12" i="9" s="1"/>
  <c r="C12" i="10"/>
  <c r="C12" i="9" s="1"/>
  <c r="B12" i="10"/>
  <c r="B12" i="9" s="1"/>
  <c r="A12" i="10"/>
  <c r="A12" i="9" s="1"/>
  <c r="E11" i="10"/>
  <c r="E11" i="9"/>
  <c r="D11" i="10"/>
  <c r="D11" i="9" s="1"/>
  <c r="C11" i="10"/>
  <c r="C11" i="9" s="1"/>
  <c r="B11" i="10"/>
  <c r="B11" i="9" s="1"/>
  <c r="A11" i="10"/>
  <c r="A11" i="9" s="1"/>
  <c r="E10" i="10"/>
  <c r="E10" i="9" s="1"/>
  <c r="D10" i="10"/>
  <c r="D10" i="9" s="1"/>
  <c r="C10" i="10"/>
  <c r="C10" i="9"/>
  <c r="B10" i="10"/>
  <c r="B10" i="9"/>
  <c r="A10" i="10"/>
  <c r="A10" i="9" s="1"/>
  <c r="E9" i="10"/>
  <c r="E9" i="9" s="1"/>
  <c r="D9" i="10"/>
  <c r="D9" i="9" s="1"/>
  <c r="C9" i="10"/>
  <c r="C9" i="9"/>
  <c r="B9" i="10"/>
  <c r="B9" i="9"/>
  <c r="A9" i="10"/>
  <c r="A9" i="9"/>
  <c r="E8" i="10"/>
  <c r="E8" i="9" s="1"/>
  <c r="D8" i="10"/>
  <c r="D8" i="9"/>
  <c r="C8" i="10"/>
  <c r="C8" i="9" s="1"/>
  <c r="B8" i="10"/>
  <c r="B8" i="9" s="1"/>
  <c r="A8" i="10"/>
  <c r="A8" i="9"/>
  <c r="E7" i="10"/>
  <c r="E7" i="9" s="1"/>
  <c r="D7" i="10"/>
  <c r="D7" i="9" s="1"/>
  <c r="C7" i="10"/>
  <c r="C7" i="9" s="1"/>
  <c r="B7" i="10"/>
  <c r="B7" i="9" s="1"/>
  <c r="A7" i="10"/>
  <c r="A7" i="9"/>
  <c r="E6" i="10"/>
  <c r="E6" i="9"/>
  <c r="D6" i="10"/>
  <c r="D6" i="9" s="1"/>
  <c r="C6" i="10"/>
  <c r="C6" i="9"/>
  <c r="B6" i="10"/>
  <c r="B6" i="9"/>
  <c r="A6" i="10"/>
  <c r="A6" i="9" s="1"/>
  <c r="E5" i="10"/>
  <c r="E5" i="9"/>
  <c r="D5" i="10"/>
  <c r="D5" i="9"/>
  <c r="C5" i="10"/>
  <c r="C5" i="9"/>
  <c r="B5" i="10"/>
  <c r="B5" i="9" s="1"/>
  <c r="A5" i="10"/>
  <c r="A5" i="9" s="1"/>
  <c r="E4" i="10"/>
  <c r="E4" i="9"/>
  <c r="D4" i="10"/>
  <c r="D4" i="9"/>
  <c r="C4" i="10"/>
  <c r="C4" i="9"/>
  <c r="B4" i="10"/>
  <c r="B4" i="9" s="1"/>
  <c r="A4" i="10"/>
  <c r="A4" i="9"/>
  <c r="E3" i="10"/>
  <c r="E3" i="9"/>
  <c r="D3" i="10"/>
  <c r="D3" i="9"/>
  <c r="C3" i="10"/>
  <c r="C3" i="9" s="1"/>
  <c r="B3" i="10"/>
  <c r="B3" i="9"/>
  <c r="A3" i="10"/>
  <c r="A3" i="9" s="1"/>
  <c r="E2" i="10"/>
  <c r="E2" i="9" s="1"/>
  <c r="D2" i="10"/>
  <c r="D2" i="9"/>
  <c r="C2" i="10"/>
  <c r="C2" i="9" s="1"/>
  <c r="B2" i="10"/>
  <c r="B2" i="9"/>
  <c r="A2" i="10"/>
  <c r="A2" i="9" s="1"/>
  <c r="K8" i="3"/>
  <c r="K5" i="3"/>
  <c r="C11" i="3"/>
  <c r="A11" i="3"/>
  <c r="E11" i="3"/>
  <c r="C12" i="3"/>
  <c r="A12" i="3"/>
  <c r="E12" i="3"/>
  <c r="C13" i="3"/>
  <c r="A13" i="3"/>
  <c r="E13" i="3"/>
  <c r="C9" i="3"/>
  <c r="A9" i="3"/>
  <c r="E9" i="3"/>
  <c r="C10" i="3"/>
  <c r="A10" i="3"/>
  <c r="E10" i="3"/>
  <c r="K10" i="3"/>
  <c r="K11" i="3"/>
  <c r="K12" i="3"/>
  <c r="K13" i="3"/>
  <c r="K3" i="3"/>
  <c r="K4" i="3"/>
  <c r="K6" i="3"/>
  <c r="K7" i="3"/>
  <c r="K9" i="3"/>
  <c r="K14" i="3"/>
  <c r="K2" i="3"/>
  <c r="C3" i="3"/>
  <c r="A3" i="3"/>
  <c r="E3" i="3"/>
  <c r="C4" i="3"/>
  <c r="A4" i="3"/>
  <c r="E4" i="3"/>
  <c r="C5" i="3"/>
  <c r="A5" i="3"/>
  <c r="E5" i="3"/>
  <c r="C6" i="3"/>
  <c r="A6" i="3"/>
  <c r="E6" i="3"/>
  <c r="C7" i="3"/>
  <c r="A7" i="3"/>
  <c r="E7" i="3"/>
  <c r="C8" i="3"/>
  <c r="A8" i="3"/>
  <c r="E8" i="3"/>
  <c r="C2" i="3"/>
  <c r="E2" i="3"/>
  <c r="E14" i="3"/>
  <c r="E15" i="3"/>
  <c r="C64" i="3"/>
  <c r="C63" i="3"/>
  <c r="C62" i="3"/>
  <c r="C61" i="3"/>
  <c r="C60" i="3"/>
  <c r="C59" i="3"/>
  <c r="C58" i="3"/>
  <c r="C57" i="3"/>
  <c r="A14" i="3"/>
  <c r="A15" i="3"/>
  <c r="C14" i="3"/>
  <c r="C15" i="3"/>
  <c r="A2" i="3"/>
  <c r="B15" i="3"/>
  <c r="D15" i="3"/>
  <c r="F15" i="3"/>
  <c r="G15" i="3"/>
  <c r="H15" i="3"/>
  <c r="I15" i="3"/>
  <c r="J15" i="3"/>
  <c r="K15" i="3"/>
  <c r="L15" i="3"/>
  <c r="M15" i="3"/>
  <c r="N15" i="3"/>
  <c r="O15" i="3"/>
  <c r="P15" i="3"/>
  <c r="Q15" i="3"/>
  <c r="R15" i="3"/>
  <c r="S15" i="3"/>
  <c r="T15" i="3"/>
  <c r="U15" i="3"/>
  <c r="V15" i="3"/>
  <c r="W15" i="3"/>
  <c r="X15" i="3"/>
  <c r="Y15" i="3"/>
  <c r="Z15" i="3"/>
  <c r="AA15" i="3"/>
  <c r="AB15" i="3"/>
  <c r="AC15" i="3"/>
  <c r="AD15" i="3"/>
  <c r="AE15" i="3"/>
  <c r="AF15" i="3"/>
  <c r="AG15" i="3"/>
  <c r="AH15" i="3"/>
  <c r="AI15" i="3"/>
  <c r="AJ15" i="3"/>
  <c r="B13" i="3"/>
  <c r="D13" i="3"/>
  <c r="F13" i="3"/>
  <c r="G13" i="3"/>
  <c r="H13" i="3"/>
  <c r="I13" i="3"/>
  <c r="J13" i="3"/>
  <c r="L13" i="3"/>
  <c r="M13" i="3"/>
  <c r="N13" i="3"/>
  <c r="O13" i="3"/>
  <c r="P13" i="3"/>
  <c r="Q13" i="3"/>
  <c r="R13" i="3"/>
  <c r="S13" i="3"/>
  <c r="T13" i="3"/>
  <c r="U13" i="3"/>
  <c r="V13" i="3"/>
  <c r="W13" i="3"/>
  <c r="X13" i="3"/>
  <c r="Y13" i="3"/>
  <c r="Z13" i="3"/>
  <c r="AA13" i="3"/>
  <c r="AB13" i="3"/>
  <c r="AC13" i="3"/>
  <c r="AD13" i="3"/>
  <c r="AE13" i="3"/>
  <c r="AF13" i="3"/>
  <c r="AG13" i="3"/>
  <c r="AH13" i="3"/>
  <c r="AI13" i="3"/>
  <c r="AJ13" i="3"/>
  <c r="B14" i="3"/>
  <c r="D14" i="3"/>
  <c r="F14" i="3"/>
  <c r="G14" i="3"/>
  <c r="H14" i="3"/>
  <c r="I14" i="3"/>
  <c r="J14" i="3"/>
  <c r="L14" i="3"/>
  <c r="M14" i="3"/>
  <c r="N14" i="3"/>
  <c r="O14" i="3"/>
  <c r="P14" i="3"/>
  <c r="Q14" i="3"/>
  <c r="R14" i="3"/>
  <c r="S14" i="3"/>
  <c r="T14" i="3"/>
  <c r="U14" i="3"/>
  <c r="V14" i="3"/>
  <c r="W14" i="3"/>
  <c r="X14" i="3"/>
  <c r="Y14" i="3"/>
  <c r="Z14" i="3"/>
  <c r="AA14" i="3"/>
  <c r="AB14" i="3"/>
  <c r="AC14" i="3"/>
  <c r="AD14" i="3"/>
  <c r="AE14" i="3"/>
  <c r="AF14" i="3"/>
  <c r="AG14" i="3"/>
  <c r="AH14" i="3"/>
  <c r="AI14" i="3"/>
  <c r="AJ14" i="3"/>
  <c r="B12" i="3"/>
  <c r="D12" i="3"/>
  <c r="F12" i="3"/>
  <c r="G12" i="3"/>
  <c r="H12" i="3"/>
  <c r="I12" i="3"/>
  <c r="J12" i="3"/>
  <c r="L12" i="3"/>
  <c r="M12" i="3"/>
  <c r="N12" i="3"/>
  <c r="O12" i="3"/>
  <c r="P12" i="3"/>
  <c r="Q12" i="3"/>
  <c r="R12" i="3"/>
  <c r="S12" i="3"/>
  <c r="T12" i="3"/>
  <c r="U12" i="3"/>
  <c r="V12" i="3"/>
  <c r="W12" i="3"/>
  <c r="X12" i="3"/>
  <c r="Y12" i="3"/>
  <c r="Z12" i="3"/>
  <c r="AA12" i="3"/>
  <c r="AB12" i="3"/>
  <c r="AC12" i="3"/>
  <c r="AD12" i="3"/>
  <c r="AE12" i="3"/>
  <c r="AF12" i="3"/>
  <c r="AG12" i="3"/>
  <c r="AH12" i="3"/>
  <c r="AI12" i="3"/>
  <c r="AJ12" i="3"/>
  <c r="B11" i="3"/>
  <c r="D11" i="3"/>
  <c r="F11" i="3"/>
  <c r="G11" i="3"/>
  <c r="H11" i="3"/>
  <c r="I11" i="3"/>
  <c r="J11" i="3"/>
  <c r="L11" i="3"/>
  <c r="M11" i="3"/>
  <c r="N11" i="3"/>
  <c r="O11" i="3"/>
  <c r="P11" i="3"/>
  <c r="Q11" i="3"/>
  <c r="R11" i="3"/>
  <c r="S11" i="3"/>
  <c r="T11" i="3"/>
  <c r="U11" i="3"/>
  <c r="V11" i="3"/>
  <c r="W11" i="3"/>
  <c r="X11" i="3"/>
  <c r="Y11" i="3"/>
  <c r="Z11" i="3"/>
  <c r="AA11" i="3"/>
  <c r="AB11" i="3"/>
  <c r="AC11" i="3"/>
  <c r="AD11" i="3"/>
  <c r="AE11" i="3"/>
  <c r="AF11" i="3"/>
  <c r="AG11" i="3"/>
  <c r="AH11" i="3"/>
  <c r="AI11" i="3"/>
  <c r="AJ11" i="3"/>
  <c r="B5" i="3"/>
  <c r="D5" i="3"/>
  <c r="F5" i="3"/>
  <c r="G5" i="3"/>
  <c r="H5" i="3"/>
  <c r="I5" i="3"/>
  <c r="J5" i="3"/>
  <c r="L5" i="3"/>
  <c r="M5" i="3"/>
  <c r="N5" i="3"/>
  <c r="O5" i="3"/>
  <c r="P5" i="3"/>
  <c r="Q5" i="3"/>
  <c r="R5" i="3"/>
  <c r="S5" i="3"/>
  <c r="T5" i="3"/>
  <c r="U5" i="3"/>
  <c r="V5" i="3"/>
  <c r="W5" i="3"/>
  <c r="X5" i="3"/>
  <c r="Y5" i="3"/>
  <c r="Z5" i="3"/>
  <c r="AA5" i="3"/>
  <c r="AB5" i="3"/>
  <c r="AC5" i="3"/>
  <c r="AD5" i="3"/>
  <c r="AE5" i="3"/>
  <c r="AF5" i="3"/>
  <c r="AG5" i="3"/>
  <c r="AH5" i="3"/>
  <c r="AI5" i="3"/>
  <c r="AJ5" i="3"/>
  <c r="B6" i="3"/>
  <c r="D6" i="3"/>
  <c r="F6" i="3"/>
  <c r="G6" i="3"/>
  <c r="H6" i="3"/>
  <c r="I6" i="3"/>
  <c r="J6" i="3"/>
  <c r="L6" i="3"/>
  <c r="M6" i="3"/>
  <c r="N6" i="3"/>
  <c r="O6" i="3"/>
  <c r="P6" i="3"/>
  <c r="Q6" i="3"/>
  <c r="R6" i="3"/>
  <c r="S6" i="3"/>
  <c r="T6" i="3"/>
  <c r="U6" i="3"/>
  <c r="V6" i="3"/>
  <c r="W6" i="3"/>
  <c r="X6" i="3"/>
  <c r="Y6" i="3"/>
  <c r="Z6" i="3"/>
  <c r="AA6" i="3"/>
  <c r="AB6" i="3"/>
  <c r="AC6" i="3"/>
  <c r="AD6" i="3"/>
  <c r="AE6" i="3"/>
  <c r="AF6" i="3"/>
  <c r="AG6" i="3"/>
  <c r="AH6" i="3"/>
  <c r="AI6" i="3"/>
  <c r="AJ6" i="3"/>
  <c r="B7" i="3"/>
  <c r="D7" i="3"/>
  <c r="F7" i="3"/>
  <c r="G7" i="3"/>
  <c r="H7" i="3"/>
  <c r="I7" i="3"/>
  <c r="J7" i="3"/>
  <c r="L7" i="3"/>
  <c r="M7" i="3"/>
  <c r="N7" i="3"/>
  <c r="O7" i="3"/>
  <c r="P7" i="3"/>
  <c r="Q7" i="3"/>
  <c r="R7" i="3"/>
  <c r="S7" i="3"/>
  <c r="T7" i="3"/>
  <c r="U7" i="3"/>
  <c r="V7" i="3"/>
  <c r="W7" i="3"/>
  <c r="X7" i="3"/>
  <c r="Y7" i="3"/>
  <c r="Z7" i="3"/>
  <c r="AA7" i="3"/>
  <c r="AB7" i="3"/>
  <c r="AC7" i="3"/>
  <c r="AD7" i="3"/>
  <c r="AE7" i="3"/>
  <c r="AF7" i="3"/>
  <c r="AG7" i="3"/>
  <c r="AH7" i="3"/>
  <c r="AI7" i="3"/>
  <c r="AJ7" i="3"/>
  <c r="B8" i="3"/>
  <c r="D8" i="3"/>
  <c r="F8" i="3"/>
  <c r="G8" i="3"/>
  <c r="H8" i="3"/>
  <c r="I8" i="3"/>
  <c r="J8" i="3"/>
  <c r="L8" i="3"/>
  <c r="M8" i="3"/>
  <c r="N8" i="3"/>
  <c r="O8" i="3"/>
  <c r="P8" i="3"/>
  <c r="Q8" i="3"/>
  <c r="R8" i="3"/>
  <c r="S8" i="3"/>
  <c r="T8" i="3"/>
  <c r="U8" i="3"/>
  <c r="V8" i="3"/>
  <c r="W8" i="3"/>
  <c r="X8" i="3"/>
  <c r="Y8" i="3"/>
  <c r="Z8" i="3"/>
  <c r="AA8" i="3"/>
  <c r="AB8" i="3"/>
  <c r="AC8" i="3"/>
  <c r="AD8" i="3"/>
  <c r="AE8" i="3"/>
  <c r="AF8" i="3"/>
  <c r="AG8" i="3"/>
  <c r="AH8" i="3"/>
  <c r="AI8" i="3"/>
  <c r="AJ8" i="3"/>
  <c r="B9" i="3"/>
  <c r="D9" i="3"/>
  <c r="F9" i="3"/>
  <c r="G9" i="3"/>
  <c r="H9" i="3"/>
  <c r="I9" i="3"/>
  <c r="J9" i="3"/>
  <c r="L9" i="3"/>
  <c r="M9" i="3"/>
  <c r="N9" i="3"/>
  <c r="O9" i="3"/>
  <c r="P9" i="3"/>
  <c r="Q9" i="3"/>
  <c r="R9" i="3"/>
  <c r="S9" i="3"/>
  <c r="T9" i="3"/>
  <c r="U9" i="3"/>
  <c r="V9" i="3"/>
  <c r="W9" i="3"/>
  <c r="X9" i="3"/>
  <c r="Y9" i="3"/>
  <c r="Z9" i="3"/>
  <c r="AA9" i="3"/>
  <c r="AB9" i="3"/>
  <c r="AC9" i="3"/>
  <c r="AD9" i="3"/>
  <c r="AE9" i="3"/>
  <c r="AF9" i="3"/>
  <c r="AG9" i="3"/>
  <c r="AH9" i="3"/>
  <c r="AI9" i="3"/>
  <c r="AJ9" i="3"/>
  <c r="B10" i="3"/>
  <c r="D10" i="3"/>
  <c r="F10" i="3"/>
  <c r="G10" i="3"/>
  <c r="H10" i="3"/>
  <c r="I10" i="3"/>
  <c r="J10" i="3"/>
  <c r="L10" i="3"/>
  <c r="M10" i="3"/>
  <c r="N10" i="3"/>
  <c r="O10" i="3"/>
  <c r="P10" i="3"/>
  <c r="Q10" i="3"/>
  <c r="R10" i="3"/>
  <c r="S10" i="3"/>
  <c r="T10" i="3"/>
  <c r="U10" i="3"/>
  <c r="V10" i="3"/>
  <c r="W10" i="3"/>
  <c r="X10" i="3"/>
  <c r="Y10" i="3"/>
  <c r="Z10" i="3"/>
  <c r="AA10" i="3"/>
  <c r="AB10" i="3"/>
  <c r="AC10" i="3"/>
  <c r="AD10" i="3"/>
  <c r="AE10" i="3"/>
  <c r="AF10" i="3"/>
  <c r="AG10" i="3"/>
  <c r="AH10" i="3"/>
  <c r="AI10" i="3"/>
  <c r="AJ10" i="3"/>
  <c r="B4" i="3"/>
  <c r="D4" i="3"/>
  <c r="F4" i="3"/>
  <c r="G4" i="3"/>
  <c r="H4" i="3"/>
  <c r="I4" i="3"/>
  <c r="J4" i="3"/>
  <c r="L4" i="3"/>
  <c r="M4" i="3"/>
  <c r="N4" i="3"/>
  <c r="O4" i="3"/>
  <c r="P4" i="3"/>
  <c r="Q4" i="3"/>
  <c r="R4" i="3"/>
  <c r="S4" i="3"/>
  <c r="T4" i="3"/>
  <c r="U4" i="3"/>
  <c r="V4" i="3"/>
  <c r="W4" i="3"/>
  <c r="X4" i="3"/>
  <c r="Y4" i="3"/>
  <c r="Z4" i="3"/>
  <c r="AA4" i="3"/>
  <c r="AB4" i="3"/>
  <c r="AC4" i="3"/>
  <c r="AD4" i="3"/>
  <c r="AE4" i="3"/>
  <c r="AF4" i="3"/>
  <c r="AG4" i="3"/>
  <c r="AH4" i="3"/>
  <c r="AI4" i="3"/>
  <c r="AJ4" i="3"/>
  <c r="B3" i="3"/>
  <c r="D3" i="3"/>
  <c r="F3" i="3"/>
  <c r="G3" i="3"/>
  <c r="H3" i="3"/>
  <c r="I3" i="3"/>
  <c r="J3" i="3"/>
  <c r="L3" i="3"/>
  <c r="M3" i="3"/>
  <c r="N3" i="3"/>
  <c r="O3" i="3"/>
  <c r="P3" i="3"/>
  <c r="Q3" i="3"/>
  <c r="R3" i="3"/>
  <c r="S3" i="3"/>
  <c r="T3" i="3"/>
  <c r="U3" i="3"/>
  <c r="V3" i="3"/>
  <c r="W3" i="3"/>
  <c r="X3" i="3"/>
  <c r="Y3" i="3"/>
  <c r="Z3" i="3"/>
  <c r="AA3" i="3"/>
  <c r="AB3" i="3"/>
  <c r="AC3" i="3"/>
  <c r="AD3" i="3"/>
  <c r="AE3" i="3"/>
  <c r="AF3" i="3"/>
  <c r="AG3" i="3"/>
  <c r="AH3" i="3"/>
  <c r="AI3" i="3"/>
  <c r="AJ3" i="3"/>
  <c r="R2" i="3"/>
  <c r="Q2" i="3"/>
  <c r="P2" i="3"/>
  <c r="O2" i="3"/>
  <c r="N2" i="3"/>
  <c r="M2" i="3"/>
  <c r="L2" i="3"/>
  <c r="J2" i="3"/>
  <c r="I2" i="3"/>
  <c r="H2" i="3"/>
  <c r="G2" i="3"/>
  <c r="F2" i="3"/>
  <c r="D2" i="3"/>
  <c r="B2" i="3"/>
  <c r="S2" i="3"/>
  <c r="T2" i="3"/>
  <c r="U2" i="3"/>
  <c r="V2" i="3"/>
  <c r="W2" i="3"/>
  <c r="X2" i="3"/>
  <c r="Y2" i="3"/>
  <c r="Z2" i="3"/>
  <c r="AA2" i="3"/>
  <c r="AB2" i="3"/>
  <c r="AC2" i="3"/>
  <c r="AD2" i="3"/>
  <c r="AE2" i="3"/>
  <c r="AF2" i="3"/>
  <c r="AG2" i="3"/>
  <c r="AH2" i="3"/>
  <c r="AI2" i="3"/>
  <c r="AJ2" i="3"/>
  <c r="B1" i="3"/>
  <c r="C1" i="3"/>
  <c r="D1" i="3"/>
  <c r="E1" i="3"/>
  <c r="F1" i="3"/>
  <c r="G1" i="3"/>
  <c r="H1" i="3"/>
  <c r="I1" i="3"/>
  <c r="J1" i="3"/>
  <c r="K1" i="3"/>
  <c r="L1" i="3"/>
  <c r="M1" i="3"/>
  <c r="N1" i="3"/>
  <c r="O1" i="3"/>
  <c r="P1" i="3"/>
  <c r="Q1" i="3"/>
  <c r="R1" i="3"/>
  <c r="S1" i="3"/>
  <c r="T1" i="3"/>
  <c r="U1" i="3"/>
  <c r="V1" i="3"/>
  <c r="W1" i="3"/>
  <c r="X1" i="3"/>
  <c r="Y1" i="3"/>
  <c r="Z1" i="3"/>
  <c r="AA1" i="3"/>
  <c r="AB1" i="3"/>
  <c r="AC1" i="3"/>
  <c r="AD1" i="3"/>
  <c r="AE1" i="3"/>
  <c r="AF1" i="3"/>
  <c r="AG1" i="3"/>
  <c r="AH1" i="3"/>
  <c r="AI1" i="3"/>
  <c r="AJ1" i="3"/>
  <c r="A1" i="3"/>
</calcChain>
</file>

<file path=xl/sharedStrings.xml><?xml version="1.0" encoding="utf-8"?>
<sst xmlns="http://schemas.openxmlformats.org/spreadsheetml/2006/main" count="149" uniqueCount="74">
  <si>
    <t>Peak Name:</t>
  </si>
  <si>
    <t>Mass:</t>
  </si>
  <si>
    <t>Field Reference Peak:</t>
  </si>
  <si>
    <t>Count Time:</t>
  </si>
  <si>
    <t>Ratio Reference Peak:</t>
  </si>
  <si>
    <t>Standard Ratio:</t>
  </si>
  <si>
    <t>Formula String</t>
  </si>
  <si>
    <t>Cycles</t>
  </si>
  <si>
    <t>X</t>
  </si>
  <si>
    <t>Y</t>
  </si>
  <si>
    <t>Description</t>
  </si>
  <si>
    <t>Deadtime</t>
  </si>
  <si>
    <t>File Name</t>
  </si>
  <si>
    <t>Detector</t>
  </si>
  <si>
    <t>H1</t>
  </si>
  <si>
    <t>L1</t>
  </si>
  <si>
    <t>Initial Energy Offset:</t>
  </si>
  <si>
    <t>Interference Correction</t>
  </si>
  <si>
    <t>EM</t>
  </si>
  <si>
    <t>L2</t>
  </si>
  <si>
    <t>C</t>
  </si>
  <si>
    <t>Detector Type</t>
  </si>
  <si>
    <t>Background</t>
  </si>
  <si>
    <t>Yield</t>
  </si>
  <si>
    <t>Deadtime Used for Calculation</t>
  </si>
  <si>
    <t>New DeadTime</t>
  </si>
  <si>
    <t>Official Deadtime</t>
  </si>
  <si>
    <t>H2</t>
  </si>
  <si>
    <t>A1</t>
  </si>
  <si>
    <t>B1</t>
  </si>
  <si>
    <t>Em</t>
  </si>
  <si>
    <t>C1</t>
  </si>
  <si>
    <t>D1</t>
  </si>
  <si>
    <t>e1</t>
  </si>
  <si>
    <t>File</t>
  </si>
  <si>
    <r>
      <t>s</t>
    </r>
    <r>
      <rPr>
        <b/>
        <vertAlign val="subscript"/>
        <sz val="10"/>
        <rFont val="Arial"/>
        <family val="2"/>
      </rPr>
      <t>mean</t>
    </r>
  </si>
  <si>
    <t>/#1/</t>
  </si>
  <si>
    <t>G6_test.asc</t>
  </si>
  <si>
    <t>23Na</t>
  </si>
  <si>
    <t>28Si</t>
  </si>
  <si>
    <t>39K</t>
  </si>
  <si>
    <t>52Cr</t>
  </si>
  <si>
    <t>55Mn</t>
  </si>
  <si>
    <r>
      <t>23</t>
    </r>
    <r>
      <rPr>
        <b/>
        <sz val="10"/>
        <rFont val="Arial"/>
        <family val="2"/>
      </rPr>
      <t>Na/</t>
    </r>
    <r>
      <rPr>
        <b/>
        <vertAlign val="superscript"/>
        <sz val="10"/>
        <rFont val="Arial"/>
        <family val="2"/>
      </rPr>
      <t>28</t>
    </r>
    <r>
      <rPr>
        <b/>
        <sz val="10"/>
        <rFont val="Arial"/>
        <family val="2"/>
      </rPr>
      <t>Si</t>
    </r>
  </si>
  <si>
    <r>
      <t>28</t>
    </r>
    <r>
      <rPr>
        <b/>
        <sz val="10"/>
        <rFont val="Arial"/>
        <family val="2"/>
      </rPr>
      <t>Si/</t>
    </r>
    <r>
      <rPr>
        <b/>
        <vertAlign val="superscript"/>
        <sz val="10"/>
        <rFont val="Arial"/>
        <family val="2"/>
      </rPr>
      <t>28</t>
    </r>
    <r>
      <rPr>
        <b/>
        <sz val="10"/>
        <rFont val="Arial"/>
        <family val="2"/>
      </rPr>
      <t>Si</t>
    </r>
  </si>
  <si>
    <r>
      <t>39</t>
    </r>
    <r>
      <rPr>
        <b/>
        <sz val="10"/>
        <rFont val="Arial"/>
        <family val="2"/>
      </rPr>
      <t>K/</t>
    </r>
    <r>
      <rPr>
        <b/>
        <vertAlign val="superscript"/>
        <sz val="10"/>
        <rFont val="Arial"/>
        <family val="2"/>
      </rPr>
      <t>28</t>
    </r>
    <r>
      <rPr>
        <b/>
        <sz val="10"/>
        <rFont val="Arial"/>
        <family val="2"/>
      </rPr>
      <t>Si</t>
    </r>
  </si>
  <si>
    <r>
      <t>52</t>
    </r>
    <r>
      <rPr>
        <b/>
        <sz val="10"/>
        <rFont val="Arial"/>
        <family val="2"/>
      </rPr>
      <t>Cr/</t>
    </r>
    <r>
      <rPr>
        <b/>
        <vertAlign val="superscript"/>
        <sz val="10"/>
        <rFont val="Arial"/>
        <family val="2"/>
      </rPr>
      <t>28</t>
    </r>
    <r>
      <rPr>
        <b/>
        <sz val="10"/>
        <rFont val="Arial"/>
        <family val="2"/>
      </rPr>
      <t>Si</t>
    </r>
  </si>
  <si>
    <r>
      <t>55</t>
    </r>
    <r>
      <rPr>
        <b/>
        <sz val="10"/>
        <rFont val="Arial"/>
        <family val="2"/>
      </rPr>
      <t>Mn/</t>
    </r>
    <r>
      <rPr>
        <b/>
        <vertAlign val="superscript"/>
        <sz val="10"/>
        <rFont val="Arial"/>
        <family val="2"/>
      </rPr>
      <t>28</t>
    </r>
    <r>
      <rPr>
        <b/>
        <sz val="10"/>
        <rFont val="Arial"/>
        <family val="2"/>
      </rPr>
      <t>Si</t>
    </r>
  </si>
  <si>
    <r>
      <t>23</t>
    </r>
    <r>
      <rPr>
        <b/>
        <sz val="10"/>
        <rFont val="Arial"/>
        <family val="2"/>
      </rPr>
      <t>Na</t>
    </r>
  </si>
  <si>
    <r>
      <t>28</t>
    </r>
    <r>
      <rPr>
        <b/>
        <sz val="10"/>
        <rFont val="Arial"/>
        <family val="2"/>
      </rPr>
      <t>Si</t>
    </r>
  </si>
  <si>
    <r>
      <t>39</t>
    </r>
    <r>
      <rPr>
        <b/>
        <sz val="10"/>
        <rFont val="Arial"/>
        <family val="2"/>
      </rPr>
      <t>K</t>
    </r>
  </si>
  <si>
    <r>
      <t>52</t>
    </r>
    <r>
      <rPr>
        <b/>
        <sz val="10"/>
        <rFont val="Arial"/>
        <family val="2"/>
      </rPr>
      <t>Cr</t>
    </r>
  </si>
  <si>
    <r>
      <t>55</t>
    </r>
    <r>
      <rPr>
        <b/>
        <sz val="10"/>
        <rFont val="Arial"/>
        <family val="2"/>
      </rPr>
      <t>Mn</t>
    </r>
  </si>
  <si>
    <r>
      <t>d</t>
    </r>
    <r>
      <rPr>
        <b/>
        <vertAlign val="superscript"/>
        <sz val="10"/>
        <rFont val="Arial"/>
        <family val="2"/>
      </rPr>
      <t>28</t>
    </r>
    <r>
      <rPr>
        <b/>
        <sz val="10"/>
        <rFont val="Arial"/>
        <family val="2"/>
      </rPr>
      <t>Si</t>
    </r>
  </si>
  <si>
    <r>
      <t>d</t>
    </r>
    <r>
      <rPr>
        <b/>
        <vertAlign val="superscript"/>
        <sz val="10"/>
        <rFont val="Arial"/>
        <family val="2"/>
      </rPr>
      <t>52</t>
    </r>
    <r>
      <rPr>
        <b/>
        <sz val="10"/>
        <rFont val="Arial"/>
        <family val="2"/>
      </rPr>
      <t>Cr</t>
    </r>
  </si>
  <si>
    <r>
      <t>s</t>
    </r>
    <r>
      <rPr>
        <b/>
        <sz val="10"/>
        <rFont val="Arial"/>
        <family val="2"/>
      </rPr>
      <t>/</t>
    </r>
    <r>
      <rPr>
        <b/>
        <sz val="10"/>
        <rFont val="Symbol"/>
        <family val="1"/>
        <charset val="2"/>
      </rPr>
      <t>Ö</t>
    </r>
    <r>
      <rPr>
        <b/>
        <sz val="10"/>
        <rFont val="Arial"/>
        <family val="2"/>
      </rPr>
      <t>(n)</t>
    </r>
    <r>
      <rPr>
        <b/>
        <vertAlign val="superscript"/>
        <sz val="10"/>
        <rFont val="Arial"/>
        <family val="2"/>
      </rPr>
      <t>23</t>
    </r>
    <r>
      <rPr>
        <b/>
        <sz val="10"/>
        <rFont val="Arial"/>
        <family val="2"/>
      </rPr>
      <t>Na</t>
    </r>
  </si>
  <si>
    <r>
      <t>s</t>
    </r>
    <r>
      <rPr>
        <b/>
        <sz val="10"/>
        <rFont val="Arial"/>
        <family val="2"/>
      </rPr>
      <t>/</t>
    </r>
    <r>
      <rPr>
        <b/>
        <sz val="10"/>
        <rFont val="Symbol"/>
        <family val="1"/>
        <charset val="2"/>
      </rPr>
      <t>Ö</t>
    </r>
    <r>
      <rPr>
        <b/>
        <sz val="10"/>
        <rFont val="Arial"/>
        <family val="2"/>
      </rPr>
      <t>(n)</t>
    </r>
    <r>
      <rPr>
        <b/>
        <vertAlign val="superscript"/>
        <sz val="10"/>
        <rFont val="Arial"/>
        <family val="2"/>
      </rPr>
      <t>28</t>
    </r>
    <r>
      <rPr>
        <b/>
        <sz val="10"/>
        <rFont val="Arial"/>
        <family val="2"/>
      </rPr>
      <t>Si</t>
    </r>
  </si>
  <si>
    <r>
      <t>s</t>
    </r>
    <r>
      <rPr>
        <b/>
        <sz val="10"/>
        <rFont val="Arial"/>
        <family val="2"/>
      </rPr>
      <t>/</t>
    </r>
    <r>
      <rPr>
        <b/>
        <sz val="10"/>
        <rFont val="Symbol"/>
        <family val="1"/>
        <charset val="2"/>
      </rPr>
      <t>Ö</t>
    </r>
    <r>
      <rPr>
        <b/>
        <sz val="10"/>
        <rFont val="Arial"/>
        <family val="2"/>
      </rPr>
      <t>(n)</t>
    </r>
    <r>
      <rPr>
        <b/>
        <vertAlign val="superscript"/>
        <sz val="10"/>
        <rFont val="Arial"/>
        <family val="2"/>
      </rPr>
      <t>39</t>
    </r>
    <r>
      <rPr>
        <b/>
        <sz val="10"/>
        <rFont val="Arial"/>
        <family val="2"/>
      </rPr>
      <t>K</t>
    </r>
  </si>
  <si>
    <r>
      <t>s</t>
    </r>
    <r>
      <rPr>
        <b/>
        <sz val="10"/>
        <rFont val="Arial"/>
        <family val="2"/>
      </rPr>
      <t>/</t>
    </r>
    <r>
      <rPr>
        <b/>
        <sz val="10"/>
        <rFont val="Symbol"/>
        <family val="1"/>
        <charset val="2"/>
      </rPr>
      <t>Ö</t>
    </r>
    <r>
      <rPr>
        <b/>
        <sz val="10"/>
        <rFont val="Arial"/>
        <family val="2"/>
      </rPr>
      <t>(n)</t>
    </r>
    <r>
      <rPr>
        <b/>
        <vertAlign val="superscript"/>
        <sz val="10"/>
        <rFont val="Arial"/>
        <family val="2"/>
      </rPr>
      <t>52</t>
    </r>
    <r>
      <rPr>
        <b/>
        <sz val="10"/>
        <rFont val="Arial"/>
        <family val="2"/>
      </rPr>
      <t>Cr</t>
    </r>
  </si>
  <si>
    <r>
      <t>s</t>
    </r>
    <r>
      <rPr>
        <b/>
        <sz val="10"/>
        <rFont val="Arial"/>
        <family val="2"/>
      </rPr>
      <t>/</t>
    </r>
    <r>
      <rPr>
        <b/>
        <sz val="10"/>
        <rFont val="Symbol"/>
        <family val="1"/>
        <charset val="2"/>
      </rPr>
      <t>Ö</t>
    </r>
    <r>
      <rPr>
        <b/>
        <sz val="10"/>
        <rFont val="Arial"/>
        <family val="2"/>
      </rPr>
      <t>(n)55Mn</t>
    </r>
  </si>
  <si>
    <t>G6@7.asc</t>
  </si>
  <si>
    <t>G6@1.asc</t>
  </si>
  <si>
    <t>G6@2.asc</t>
  </si>
  <si>
    <t>G6@8.asc</t>
  </si>
  <si>
    <t>G6@10.asc</t>
  </si>
  <si>
    <t>G6@11.asc</t>
  </si>
  <si>
    <t>G6@4.asc</t>
  </si>
  <si>
    <t>G6@3.asc</t>
  </si>
  <si>
    <t>G6@12.asc</t>
  </si>
  <si>
    <t>G6@1a.asc</t>
  </si>
  <si>
    <t>G6@2a.asc</t>
  </si>
  <si>
    <t>G6@8a.asc</t>
  </si>
  <si>
    <t>G6@7a.asc</t>
  </si>
  <si>
    <r>
      <t xml:space="preserve">*Note: data in </t>
    </r>
    <r>
      <rPr>
        <b/>
        <sz val="10"/>
        <color indexed="22"/>
        <rFont val="Arial"/>
        <family val="2"/>
      </rPr>
      <t>grey</t>
    </r>
    <r>
      <rPr>
        <b/>
        <sz val="10"/>
        <color indexed="8"/>
        <rFont val="Arial"/>
        <family val="2"/>
      </rPr>
      <t xml:space="preserve"> means that this data is not valid due to close distance with other points (see the main text in Su et al. 2023)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</si>
</sst>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00"/>
  </numFmts>
  <fonts count="24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b/>
      <sz val="10"/>
      <color indexed="56"/>
      <name val="Arial"/>
      <family val="2"/>
    </font>
    <font>
      <sz val="10"/>
      <color indexed="56"/>
      <name val="Arial"/>
      <family val="2"/>
    </font>
    <font>
      <b/>
      <sz val="10"/>
      <name val="Arial"/>
      <family val="2"/>
    </font>
    <font>
      <b/>
      <sz val="10"/>
      <name val="Symbol"/>
      <family val="1"/>
      <charset val="2"/>
    </font>
    <font>
      <sz val="10"/>
      <color indexed="12"/>
      <name val="Arial"/>
      <family val="2"/>
    </font>
    <font>
      <sz val="10"/>
      <name val="Arial"/>
      <family val="2"/>
    </font>
    <font>
      <b/>
      <sz val="10"/>
      <color indexed="12"/>
      <name val="Arial"/>
      <family val="2"/>
    </font>
    <font>
      <sz val="10"/>
      <color indexed="12"/>
      <name val="Arial"/>
      <family val="2"/>
    </font>
    <font>
      <b/>
      <sz val="10"/>
      <color indexed="12"/>
      <name val="Arial"/>
      <family val="2"/>
    </font>
    <font>
      <sz val="10"/>
      <color indexed="11"/>
      <name val="Arial"/>
      <family val="2"/>
    </font>
    <font>
      <b/>
      <sz val="10"/>
      <color indexed="11"/>
      <name val="Arial"/>
      <family val="2"/>
    </font>
    <font>
      <b/>
      <vertAlign val="subscript"/>
      <sz val="10"/>
      <name val="Arial"/>
      <family val="2"/>
    </font>
    <font>
      <b/>
      <vertAlign val="superscript"/>
      <sz val="10"/>
      <name val="Arial"/>
      <family val="2"/>
    </font>
    <font>
      <sz val="10"/>
      <color rgb="FFFF0000"/>
      <name val="Arial"/>
      <family val="2"/>
    </font>
    <font>
      <i/>
      <sz val="10"/>
      <color rgb="FFFF0000"/>
      <name val="Arial"/>
      <family val="2"/>
    </font>
    <font>
      <i/>
      <sz val="10"/>
      <color theme="0" tint="-0.249977111117893"/>
      <name val="Arial"/>
      <family val="2"/>
    </font>
    <font>
      <b/>
      <sz val="10"/>
      <color theme="0" tint="-0.249977111117893"/>
      <name val="Arial"/>
      <family val="2"/>
    </font>
    <font>
      <sz val="10"/>
      <color theme="0" tint="-0.249977111117893"/>
      <name val="Arial"/>
      <family val="2"/>
    </font>
    <font>
      <b/>
      <sz val="10"/>
      <color theme="1"/>
      <name val="Arial"/>
      <family val="2"/>
    </font>
    <font>
      <b/>
      <sz val="10"/>
      <color indexed="22"/>
      <name val="Arial"/>
      <family val="2"/>
    </font>
    <font>
      <b/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</fills>
  <borders count="9">
    <border>
      <left/>
      <right/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/>
      <bottom/>
      <diagonal/>
    </border>
    <border>
      <left/>
      <right/>
      <top style="thick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/>
      <bottom/>
      <diagonal/>
    </border>
    <border>
      <left/>
      <right style="thick">
        <color indexed="64"/>
      </right>
      <top/>
      <bottom style="thick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1" fillId="0" borderId="1" xfId="0" applyFont="1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1" xfId="0" quotePrefix="1" applyFont="1" applyBorder="1" applyAlignment="1">
      <alignment horizontal="left"/>
    </xf>
    <xf numFmtId="0" fontId="3" fillId="0" borderId="3" xfId="0" applyFont="1" applyBorder="1"/>
    <xf numFmtId="0" fontId="4" fillId="0" borderId="3" xfId="0" applyFont="1" applyBorder="1"/>
    <xf numFmtId="0" fontId="3" fillId="0" borderId="4" xfId="0" applyFont="1" applyBorder="1" applyAlignment="1">
      <alignment horizontal="center"/>
    </xf>
    <xf numFmtId="2" fontId="0" fillId="0" borderId="0" xfId="0" applyNumberFormat="1"/>
    <xf numFmtId="0" fontId="8" fillId="0" borderId="0" xfId="0" applyFont="1"/>
    <xf numFmtId="0" fontId="1" fillId="0" borderId="5" xfId="0" quotePrefix="1" applyFont="1" applyBorder="1" applyAlignment="1">
      <alignment horizontal="left"/>
    </xf>
    <xf numFmtId="0" fontId="5" fillId="0" borderId="2" xfId="0" applyFont="1" applyBorder="1" applyAlignment="1">
      <alignment horizontal="left"/>
    </xf>
    <xf numFmtId="0" fontId="8" fillId="0" borderId="0" xfId="0" applyFont="1" applyAlignment="1">
      <alignment horizontal="center"/>
    </xf>
    <xf numFmtId="0" fontId="2" fillId="0" borderId="0" xfId="0" applyFont="1"/>
    <xf numFmtId="0" fontId="10" fillId="0" borderId="0" xfId="0" applyFont="1"/>
    <xf numFmtId="0" fontId="9" fillId="0" borderId="5" xfId="0" applyFont="1" applyBorder="1"/>
    <xf numFmtId="0" fontId="8" fillId="2" borderId="0" xfId="0" applyFont="1" applyFill="1"/>
    <xf numFmtId="0" fontId="0" fillId="2" borderId="0" xfId="0" applyFill="1"/>
    <xf numFmtId="0" fontId="9" fillId="0" borderId="1" xfId="0" quotePrefix="1" applyFont="1" applyBorder="1" applyAlignment="1">
      <alignment horizontal="left"/>
    </xf>
    <xf numFmtId="0" fontId="9" fillId="0" borderId="2" xfId="0" applyFont="1" applyBorder="1" applyAlignment="1">
      <alignment horizontal="left"/>
    </xf>
    <xf numFmtId="0" fontId="11" fillId="0" borderId="2" xfId="0" applyFont="1" applyBorder="1"/>
    <xf numFmtId="0" fontId="3" fillId="0" borderId="6" xfId="0" applyFont="1" applyBorder="1"/>
    <xf numFmtId="0" fontId="0" fillId="0" borderId="7" xfId="0" applyBorder="1"/>
    <xf numFmtId="0" fontId="3" fillId="0" borderId="8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7" xfId="0" applyFont="1" applyBorder="1" applyAlignment="1">
      <alignment horizontal="left"/>
    </xf>
    <xf numFmtId="0" fontId="0" fillId="0" borderId="4" xfId="0" applyBorder="1"/>
    <xf numFmtId="0" fontId="0" fillId="0" borderId="8" xfId="0" applyBorder="1"/>
    <xf numFmtId="0" fontId="11" fillId="0" borderId="7" xfId="0" applyFont="1" applyBorder="1" applyAlignment="1">
      <alignment horizontal="right"/>
    </xf>
    <xf numFmtId="0" fontId="11" fillId="0" borderId="0" xfId="0" applyFont="1"/>
    <xf numFmtId="0" fontId="3" fillId="0" borderId="0" xfId="0" applyFont="1"/>
    <xf numFmtId="0" fontId="12" fillId="0" borderId="0" xfId="0" applyFont="1"/>
    <xf numFmtId="0" fontId="13" fillId="0" borderId="0" xfId="0" applyFont="1"/>
    <xf numFmtId="164" fontId="7" fillId="0" borderId="0" xfId="0" applyNumberFormat="1" applyFont="1"/>
    <xf numFmtId="164" fontId="7" fillId="0" borderId="0" xfId="0" applyNumberFormat="1" applyFont="1" applyAlignment="1">
      <alignment horizontal="right"/>
    </xf>
    <xf numFmtId="11" fontId="0" fillId="0" borderId="0" xfId="0" applyNumberFormat="1"/>
    <xf numFmtId="0" fontId="1" fillId="0" borderId="0" xfId="0" applyFont="1" applyAlignment="1">
      <alignment horizontal="center"/>
    </xf>
    <xf numFmtId="0" fontId="0" fillId="3" borderId="0" xfId="0" applyFill="1"/>
    <xf numFmtId="0" fontId="1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1" fontId="1" fillId="0" borderId="0" xfId="0" applyNumberFormat="1" applyFont="1" applyAlignment="1">
      <alignment horizontal="center"/>
    </xf>
    <xf numFmtId="0" fontId="16" fillId="0" borderId="0" xfId="0" applyFont="1"/>
    <xf numFmtId="0" fontId="8" fillId="0" borderId="0" xfId="0" applyFont="1" applyAlignment="1">
      <alignment wrapText="1"/>
    </xf>
    <xf numFmtId="0" fontId="17" fillId="0" borderId="0" xfId="0" applyFont="1"/>
    <xf numFmtId="0" fontId="18" fillId="0" borderId="0" xfId="0" applyFont="1" applyAlignment="1">
      <alignment horizontal="left"/>
    </xf>
    <xf numFmtId="0" fontId="18" fillId="0" borderId="0" xfId="0" applyFont="1" applyAlignment="1">
      <alignment horizontal="center"/>
    </xf>
    <xf numFmtId="0" fontId="18" fillId="0" borderId="0" xfId="0" applyFont="1"/>
    <xf numFmtId="0" fontId="19" fillId="0" borderId="0" xfId="0" applyFont="1" applyAlignment="1">
      <alignment horizontal="left"/>
    </xf>
    <xf numFmtId="0" fontId="19" fillId="0" borderId="0" xfId="0" applyFont="1" applyAlignment="1">
      <alignment horizontal="center"/>
    </xf>
    <xf numFmtId="0" fontId="20" fillId="0" borderId="0" xfId="0" applyFont="1"/>
    <xf numFmtId="0" fontId="20" fillId="0" borderId="0" xfId="0" applyFont="1" applyAlignment="1">
      <alignment horizontal="left"/>
    </xf>
    <xf numFmtId="0" fontId="20" fillId="0" borderId="0" xfId="0" applyFont="1" applyAlignment="1">
      <alignment horizontal="center"/>
    </xf>
    <xf numFmtId="0" fontId="21" fillId="0" borderId="0" xfId="0" applyFont="1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0556473634585458E-2"/>
          <c:y val="0.10593597283425087"/>
          <c:w val="0.86809164484751611"/>
          <c:h val="0.7415518098397561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yVal>
            <c:numRef>
              <c:f>Ratios!#REF!</c:f>
              <c:numCache>
                <c:formatCode>General</c:formatCode>
                <c:ptCount val="15"/>
                <c:pt idx="0">
                  <c:v>0.14270987511626765</c:v>
                </c:pt>
                <c:pt idx="1">
                  <c:v>0.14450990886829196</c:v>
                </c:pt>
                <c:pt idx="2">
                  <c:v>0.14574121543041657</c:v>
                </c:pt>
                <c:pt idx="3">
                  <c:v>0.14962788757271311</c:v>
                </c:pt>
                <c:pt idx="4">
                  <c:v>0.1477741984516594</c:v>
                </c:pt>
                <c:pt idx="5">
                  <c:v>0.14751202640394304</c:v>
                </c:pt>
                <c:pt idx="6">
                  <c:v>0.14712875906166828</c:v>
                </c:pt>
                <c:pt idx="7">
                  <c:v>0.14934511152140451</c:v>
                </c:pt>
                <c:pt idx="8">
                  <c:v>0.14380865789658684</c:v>
                </c:pt>
                <c:pt idx="9">
                  <c:v>0.14816631952089335</c:v>
                </c:pt>
                <c:pt idx="10">
                  <c:v>0.14562506398235017</c:v>
                </c:pt>
                <c:pt idx="11">
                  <c:v>0.14545627494907365</c:v>
                </c:pt>
                <c:pt idx="12">
                  <c:v>0.14873329555502993</c:v>
                </c:pt>
                <c:pt idx="13">
                  <c:v>0.15035181605557429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189-4158-A6FA-A1DC2ED585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96695040"/>
        <c:axId val="1"/>
      </c:scatterChart>
      <c:valAx>
        <c:axId val="4966950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crossBetween val="midCat"/>
      </c:val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96695040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93961055876961264"/>
          <c:y val="0.44916852481722369"/>
          <c:w val="4.809030418899593E-2"/>
          <c:h val="5.932414478718049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36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7489353370297678E-2"/>
          <c:y val="5.9643972734894635E-2"/>
          <c:w val="0.81468536381204837"/>
          <c:h val="0.84296814798651076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yVal>
            <c:numRef>
              <c:f>Ratios!$E$1:$E$66</c:f>
              <c:numCache>
                <c:formatCode>General</c:formatCode>
                <c:ptCount val="66"/>
                <c:pt idx="0">
                  <c:v>4.3142909011238684E-2</c:v>
                </c:pt>
                <c:pt idx="1">
                  <c:v>4.3665363551316047E-2</c:v>
                </c:pt>
                <c:pt idx="2">
                  <c:v>4.3699413824364125E-2</c:v>
                </c:pt>
                <c:pt idx="3">
                  <c:v>4.3231057838666404E-2</c:v>
                </c:pt>
                <c:pt idx="4">
                  <c:v>4.3831656298329566E-2</c:v>
                </c:pt>
                <c:pt idx="5">
                  <c:v>4.3012401979937352E-2</c:v>
                </c:pt>
                <c:pt idx="6">
                  <c:v>4.285558729718425E-2</c:v>
                </c:pt>
                <c:pt idx="7">
                  <c:v>4.254493824671559E-2</c:v>
                </c:pt>
                <c:pt idx="8">
                  <c:v>4.3498235985219694E-2</c:v>
                </c:pt>
                <c:pt idx="9">
                  <c:v>4.4055500039651314E-2</c:v>
                </c:pt>
                <c:pt idx="10">
                  <c:v>4.3181189006530597E-2</c:v>
                </c:pt>
                <c:pt idx="11">
                  <c:v>4.439290787926406E-2</c:v>
                </c:pt>
                <c:pt idx="12">
                  <c:v>4.3644290943375276E-2</c:v>
                </c:pt>
                <c:pt idx="13">
                  <c:v>4.3587991103240561E-2</c:v>
                </c:pt>
                <c:pt idx="14">
                  <c:v>4.4303697381412765E-2</c:v>
                </c:pt>
                <c:pt idx="15">
                  <c:v>4.4165260596562166E-2</c:v>
                </c:pt>
                <c:pt idx="16">
                  <c:v>4.3104949382889141E-2</c:v>
                </c:pt>
                <c:pt idx="17">
                  <c:v>4.3647050632056657E-2</c:v>
                </c:pt>
                <c:pt idx="18">
                  <c:v>4.3269371783568392E-2</c:v>
                </c:pt>
                <c:pt idx="19">
                  <c:v>4.3244806089009047E-2</c:v>
                </c:pt>
                <c:pt idx="20">
                  <c:v>4.380118588381457E-2</c:v>
                </c:pt>
                <c:pt idx="21">
                  <c:v>4.3983360239196606E-2</c:v>
                </c:pt>
                <c:pt idx="22">
                  <c:v>4.3952971201579677E-2</c:v>
                </c:pt>
                <c:pt idx="23">
                  <c:v>4.328233916166184E-2</c:v>
                </c:pt>
                <c:pt idx="24">
                  <c:v>4.3236861551804721E-2</c:v>
                </c:pt>
                <c:pt idx="25">
                  <c:v>4.4053997236188275E-2</c:v>
                </c:pt>
                <c:pt idx="26">
                  <c:v>4.3841574352786697E-2</c:v>
                </c:pt>
                <c:pt idx="27">
                  <c:v>4.4907834673940238E-2</c:v>
                </c:pt>
                <c:pt idx="28">
                  <c:v>4.3679772243381237E-2</c:v>
                </c:pt>
                <c:pt idx="29">
                  <c:v>4.3358920479441919E-2</c:v>
                </c:pt>
                <c:pt idx="30">
                  <c:v>4.4116881459550464E-2</c:v>
                </c:pt>
                <c:pt idx="31">
                  <c:v>4.3951079824755504E-2</c:v>
                </c:pt>
                <c:pt idx="32">
                  <c:v>4.4504138564068499E-2</c:v>
                </c:pt>
                <c:pt idx="33">
                  <c:v>4.4187894383245066E-2</c:v>
                </c:pt>
                <c:pt idx="34">
                  <c:v>4.4263529736551829E-2</c:v>
                </c:pt>
                <c:pt idx="35">
                  <c:v>4.4281856830063568E-2</c:v>
                </c:pt>
                <c:pt idx="36">
                  <c:v>4.3317262306358816E-2</c:v>
                </c:pt>
                <c:pt idx="37">
                  <c:v>4.3162140587914122E-2</c:v>
                </c:pt>
                <c:pt idx="38">
                  <c:v>4.4905193346249248E-2</c:v>
                </c:pt>
                <c:pt idx="39">
                  <c:v>4.4812918106196954E-2</c:v>
                </c:pt>
                <c:pt idx="40">
                  <c:v>4.4807214267963871E-2</c:v>
                </c:pt>
                <c:pt idx="41">
                  <c:v>4.4969503730747006E-2</c:v>
                </c:pt>
                <c:pt idx="42">
                  <c:v>4.3687849577485047E-2</c:v>
                </c:pt>
                <c:pt idx="43">
                  <c:v>4.3459419176932329E-2</c:v>
                </c:pt>
                <c:pt idx="44">
                  <c:v>4.4870014037274204E-2</c:v>
                </c:pt>
                <c:pt idx="45">
                  <c:v>4.3501106037431084E-2</c:v>
                </c:pt>
                <c:pt idx="46">
                  <c:v>4.4788884780901497E-2</c:v>
                </c:pt>
                <c:pt idx="47">
                  <c:v>4.3785246443069505E-2</c:v>
                </c:pt>
                <c:pt idx="48">
                  <c:v>4.5311321693025E-2</c:v>
                </c:pt>
                <c:pt idx="49">
                  <c:v>4.3939548271357445E-2</c:v>
                </c:pt>
                <c:pt idx="50">
                  <c:v>4.4293488411506758E-2</c:v>
                </c:pt>
                <c:pt idx="51">
                  <c:v>4.438404418299112E-2</c:v>
                </c:pt>
                <c:pt idx="52">
                  <c:v>4.3068475259422187E-2</c:v>
                </c:pt>
                <c:pt idx="53">
                  <c:v>4.492545041121139E-2</c:v>
                </c:pt>
                <c:pt idx="54">
                  <c:v>4.352407437599496E-2</c:v>
                </c:pt>
                <c:pt idx="55">
                  <c:v>4.4111931951791132E-2</c:v>
                </c:pt>
                <c:pt idx="56">
                  <c:v>4.4647400741300948E-2</c:v>
                </c:pt>
                <c:pt idx="57">
                  <c:v>4.4684136994710001E-2</c:v>
                </c:pt>
                <c:pt idx="58">
                  <c:v>4.4723705694926591E-2</c:v>
                </c:pt>
                <c:pt idx="59">
                  <c:v>4.4711030773415844E-2</c:v>
                </c:pt>
                <c:pt idx="60">
                  <c:v>4.4162391220305165E-2</c:v>
                </c:pt>
                <c:pt idx="61">
                  <c:v>4.3678550997599E-2</c:v>
                </c:pt>
                <c:pt idx="62">
                  <c:v>4.3829832639541814E-2</c:v>
                </c:pt>
                <c:pt idx="63">
                  <c:v>4.3728099210867989E-2</c:v>
                </c:pt>
                <c:pt idx="64">
                  <c:v>4.4721809393023795E-2</c:v>
                </c:pt>
                <c:pt idx="65">
                  <c:v>4.2726332513117367E-2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833-4E10-85AE-6CDE1E0B6C7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97642064"/>
        <c:axId val="1"/>
      </c:scatterChart>
      <c:valAx>
        <c:axId val="4976420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crossBetween val="midCat"/>
      </c:val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97642064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91625924593257368"/>
          <c:y val="0.45925859005868869"/>
          <c:w val="7.3300739674605903E-2"/>
          <c:h val="4.5727045763419225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5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194489077675725"/>
          <c:y val="5.6605505492429153E-2"/>
          <c:w val="0.75487764360884535"/>
          <c:h val="0.84565194568992641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yVal>
            <c:numRef>
              <c:f>Ratios!$E$1:$E$70</c:f>
              <c:numCache>
                <c:formatCode>General</c:formatCode>
                <c:ptCount val="70"/>
                <c:pt idx="0">
                  <c:v>4.3142909011238684E-2</c:v>
                </c:pt>
                <c:pt idx="1">
                  <c:v>4.3665363551316047E-2</c:v>
                </c:pt>
                <c:pt idx="2">
                  <c:v>4.3699413824364125E-2</c:v>
                </c:pt>
                <c:pt idx="3">
                  <c:v>4.3231057838666404E-2</c:v>
                </c:pt>
                <c:pt idx="4">
                  <c:v>4.3831656298329566E-2</c:v>
                </c:pt>
                <c:pt idx="5">
                  <c:v>4.3012401979937352E-2</c:v>
                </c:pt>
                <c:pt idx="6">
                  <c:v>4.285558729718425E-2</c:v>
                </c:pt>
                <c:pt idx="7">
                  <c:v>4.254493824671559E-2</c:v>
                </c:pt>
                <c:pt idx="8">
                  <c:v>4.3498235985219694E-2</c:v>
                </c:pt>
                <c:pt idx="9">
                  <c:v>4.4055500039651314E-2</c:v>
                </c:pt>
                <c:pt idx="10">
                  <c:v>4.3181189006530597E-2</c:v>
                </c:pt>
                <c:pt idx="11">
                  <c:v>4.439290787926406E-2</c:v>
                </c:pt>
                <c:pt idx="12">
                  <c:v>4.3644290943375276E-2</c:v>
                </c:pt>
                <c:pt idx="13">
                  <c:v>4.3587991103240561E-2</c:v>
                </c:pt>
                <c:pt idx="14">
                  <c:v>4.4303697381412765E-2</c:v>
                </c:pt>
                <c:pt idx="15">
                  <c:v>4.4165260596562166E-2</c:v>
                </c:pt>
                <c:pt idx="16">
                  <c:v>4.3104949382889141E-2</c:v>
                </c:pt>
                <c:pt idx="17">
                  <c:v>4.3647050632056657E-2</c:v>
                </c:pt>
                <c:pt idx="18">
                  <c:v>4.3269371783568392E-2</c:v>
                </c:pt>
                <c:pt idx="19">
                  <c:v>4.3244806089009047E-2</c:v>
                </c:pt>
                <c:pt idx="20">
                  <c:v>4.380118588381457E-2</c:v>
                </c:pt>
                <c:pt idx="21">
                  <c:v>4.3983360239196606E-2</c:v>
                </c:pt>
                <c:pt idx="22">
                  <c:v>4.3952971201579677E-2</c:v>
                </c:pt>
                <c:pt idx="23">
                  <c:v>4.328233916166184E-2</c:v>
                </c:pt>
                <c:pt idx="24">
                  <c:v>4.3236861551804721E-2</c:v>
                </c:pt>
                <c:pt idx="25">
                  <c:v>4.4053997236188275E-2</c:v>
                </c:pt>
                <c:pt idx="26">
                  <c:v>4.3841574352786697E-2</c:v>
                </c:pt>
                <c:pt idx="27">
                  <c:v>4.4907834673940238E-2</c:v>
                </c:pt>
                <c:pt idx="28">
                  <c:v>4.3679772243381237E-2</c:v>
                </c:pt>
                <c:pt idx="29">
                  <c:v>4.3358920479441919E-2</c:v>
                </c:pt>
                <c:pt idx="30">
                  <c:v>4.4116881459550464E-2</c:v>
                </c:pt>
                <c:pt idx="31">
                  <c:v>4.3951079824755504E-2</c:v>
                </c:pt>
                <c:pt idx="32">
                  <c:v>4.4504138564068499E-2</c:v>
                </c:pt>
                <c:pt idx="33">
                  <c:v>4.4187894383245066E-2</c:v>
                </c:pt>
                <c:pt idx="34">
                  <c:v>4.4263529736551829E-2</c:v>
                </c:pt>
                <c:pt idx="35">
                  <c:v>4.4281856830063568E-2</c:v>
                </c:pt>
                <c:pt idx="36">
                  <c:v>4.3317262306358816E-2</c:v>
                </c:pt>
                <c:pt idx="37">
                  <c:v>4.3162140587914122E-2</c:v>
                </c:pt>
                <c:pt idx="38">
                  <c:v>4.4905193346249248E-2</c:v>
                </c:pt>
                <c:pt idx="39">
                  <c:v>4.4812918106196954E-2</c:v>
                </c:pt>
                <c:pt idx="40">
                  <c:v>4.4807214267963871E-2</c:v>
                </c:pt>
                <c:pt idx="41">
                  <c:v>4.4969503730747006E-2</c:v>
                </c:pt>
                <c:pt idx="42">
                  <c:v>4.3687849577485047E-2</c:v>
                </c:pt>
                <c:pt idx="43">
                  <c:v>4.3459419176932329E-2</c:v>
                </c:pt>
                <c:pt idx="44">
                  <c:v>4.4870014037274204E-2</c:v>
                </c:pt>
                <c:pt idx="45">
                  <c:v>4.3501106037431084E-2</c:v>
                </c:pt>
                <c:pt idx="46">
                  <c:v>4.4788884780901497E-2</c:v>
                </c:pt>
                <c:pt idx="47">
                  <c:v>4.3785246443069505E-2</c:v>
                </c:pt>
                <c:pt idx="48">
                  <c:v>4.5311321693025E-2</c:v>
                </c:pt>
                <c:pt idx="49">
                  <c:v>4.3939548271357445E-2</c:v>
                </c:pt>
                <c:pt idx="50">
                  <c:v>4.4293488411506758E-2</c:v>
                </c:pt>
                <c:pt idx="51">
                  <c:v>4.438404418299112E-2</c:v>
                </c:pt>
                <c:pt idx="52">
                  <c:v>4.3068475259422187E-2</c:v>
                </c:pt>
                <c:pt idx="53">
                  <c:v>4.492545041121139E-2</c:v>
                </c:pt>
                <c:pt idx="54">
                  <c:v>4.352407437599496E-2</c:v>
                </c:pt>
                <c:pt idx="55">
                  <c:v>4.4111931951791132E-2</c:v>
                </c:pt>
                <c:pt idx="56">
                  <c:v>4.4647400741300948E-2</c:v>
                </c:pt>
                <c:pt idx="57">
                  <c:v>4.4684136994710001E-2</c:v>
                </c:pt>
                <c:pt idx="58">
                  <c:v>4.4723705694926591E-2</c:v>
                </c:pt>
                <c:pt idx="59">
                  <c:v>4.4711030773415844E-2</c:v>
                </c:pt>
                <c:pt idx="60">
                  <c:v>4.4162391220305165E-2</c:v>
                </c:pt>
                <c:pt idx="61">
                  <c:v>4.3678550997599E-2</c:v>
                </c:pt>
                <c:pt idx="62">
                  <c:v>4.3829832639541814E-2</c:v>
                </c:pt>
                <c:pt idx="63">
                  <c:v>4.3728099210867989E-2</c:v>
                </c:pt>
                <c:pt idx="64">
                  <c:v>4.4721809393023795E-2</c:v>
                </c:pt>
                <c:pt idx="65">
                  <c:v>4.2726332513117367E-2</c:v>
                </c:pt>
                <c:pt idx="66">
                  <c:v>4.575902270092122E-2</c:v>
                </c:pt>
                <c:pt idx="67">
                  <c:v>4.5204427791992227E-2</c:v>
                </c:pt>
                <c:pt idx="68">
                  <c:v>4.5301257721304458E-2</c:v>
                </c:pt>
                <c:pt idx="69">
                  <c:v>4.4968421080599633E-2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363-4B6C-A478-3CDB70AAE98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97641648"/>
        <c:axId val="1"/>
      </c:scatterChart>
      <c:valAx>
        <c:axId val="4976416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crossBetween val="midCat"/>
      </c:val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97641648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8716327568820874"/>
          <c:y val="0.45798999898419945"/>
          <c:w val="0.10073126112465298"/>
          <c:h val="4.4598277054641151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4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194489077675725"/>
          <c:y val="5.6605505492429153E-2"/>
          <c:w val="0.75487764360884535"/>
          <c:h val="0.84565194568992641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yVal>
            <c:numRef>
              <c:f>Ratios!$BH$1:$BH$70</c:f>
              <c:numCache>
                <c:formatCode>General</c:formatCode>
                <c:ptCount val="70"/>
                <c:pt idx="0">
                  <c:v>4.031609986408391E-2</c:v>
                </c:pt>
                <c:pt idx="1">
                  <c:v>4.1327644127813319E-2</c:v>
                </c:pt>
                <c:pt idx="2">
                  <c:v>4.0040691737544605E-2</c:v>
                </c:pt>
                <c:pt idx="3">
                  <c:v>4.0688848910365623E-2</c:v>
                </c:pt>
                <c:pt idx="4">
                  <c:v>4.0624675453158503E-2</c:v>
                </c:pt>
                <c:pt idx="5">
                  <c:v>4.0621381743733948E-2</c:v>
                </c:pt>
                <c:pt idx="6">
                  <c:v>4.0612919199360699E-2</c:v>
                </c:pt>
                <c:pt idx="7">
                  <c:v>4.1052160101502318E-2</c:v>
                </c:pt>
                <c:pt idx="8">
                  <c:v>4.1365891732870884E-2</c:v>
                </c:pt>
                <c:pt idx="9">
                  <c:v>4.0327140148764387E-2</c:v>
                </c:pt>
                <c:pt idx="10">
                  <c:v>4.0075579047466468E-2</c:v>
                </c:pt>
                <c:pt idx="11">
                  <c:v>4.0481940351680519E-2</c:v>
                </c:pt>
                <c:pt idx="12">
                  <c:v>4.063468884986416E-2</c:v>
                </c:pt>
                <c:pt idx="13">
                  <c:v>4.02954824876244E-2</c:v>
                </c:pt>
                <c:pt idx="14">
                  <c:v>4.0807808186205545E-2</c:v>
                </c:pt>
                <c:pt idx="15">
                  <c:v>4.1196711191877164E-2</c:v>
                </c:pt>
                <c:pt idx="16">
                  <c:v>4.047100850357338E-2</c:v>
                </c:pt>
                <c:pt idx="17">
                  <c:v>4.1389318455559258E-2</c:v>
                </c:pt>
                <c:pt idx="18">
                  <c:v>4.0262289949581934E-2</c:v>
                </c:pt>
                <c:pt idx="19">
                  <c:v>4.0401098772739015E-2</c:v>
                </c:pt>
                <c:pt idx="20">
                  <c:v>4.1097315537680958E-2</c:v>
                </c:pt>
                <c:pt idx="21">
                  <c:v>4.1373337179569515E-2</c:v>
                </c:pt>
                <c:pt idx="22">
                  <c:v>4.1603667571460751E-2</c:v>
                </c:pt>
                <c:pt idx="23">
                  <c:v>4.1169044061618948E-2</c:v>
                </c:pt>
                <c:pt idx="24">
                  <c:v>4.1562154230965029E-2</c:v>
                </c:pt>
                <c:pt idx="25">
                  <c:v>4.0461633088202414E-2</c:v>
                </c:pt>
                <c:pt idx="26">
                  <c:v>4.0588149467847799E-2</c:v>
                </c:pt>
                <c:pt idx="27">
                  <c:v>4.1011537845310087E-2</c:v>
                </c:pt>
                <c:pt idx="28">
                  <c:v>4.0929621869349626E-2</c:v>
                </c:pt>
                <c:pt idx="29">
                  <c:v>4.0513704558565365E-2</c:v>
                </c:pt>
                <c:pt idx="30">
                  <c:v>4.1230830743097961E-2</c:v>
                </c:pt>
                <c:pt idx="31">
                  <c:v>4.1459301320837291E-2</c:v>
                </c:pt>
                <c:pt idx="32">
                  <c:v>4.1792215839345719E-2</c:v>
                </c:pt>
                <c:pt idx="33">
                  <c:v>3.9978912365754196E-2</c:v>
                </c:pt>
                <c:pt idx="34">
                  <c:v>4.1208038924456694E-2</c:v>
                </c:pt>
                <c:pt idx="35">
                  <c:v>4.0994471594977058E-2</c:v>
                </c:pt>
                <c:pt idx="36">
                  <c:v>4.181089304032698E-2</c:v>
                </c:pt>
                <c:pt idx="37">
                  <c:v>4.0808891002558682E-2</c:v>
                </c:pt>
                <c:pt idx="38">
                  <c:v>4.1046622448904092E-2</c:v>
                </c:pt>
                <c:pt idx="39">
                  <c:v>4.1844373736616966E-2</c:v>
                </c:pt>
                <c:pt idx="40">
                  <c:v>4.0768481025828723E-2</c:v>
                </c:pt>
                <c:pt idx="41">
                  <c:v>3.9490393079414939E-2</c:v>
                </c:pt>
                <c:pt idx="42">
                  <c:v>4.0825274030191941E-2</c:v>
                </c:pt>
                <c:pt idx="43">
                  <c:v>4.1473218845698684E-2</c:v>
                </c:pt>
                <c:pt idx="44">
                  <c:v>4.1356947264850154E-2</c:v>
                </c:pt>
                <c:pt idx="45">
                  <c:v>4.0584386967652146E-2</c:v>
                </c:pt>
                <c:pt idx="46">
                  <c:v>4.0903462001191541E-2</c:v>
                </c:pt>
                <c:pt idx="47">
                  <c:v>4.0719465988022237E-2</c:v>
                </c:pt>
                <c:pt idx="48">
                  <c:v>4.1460917774174141E-2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44B-4256-89FC-2662B27402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97635824"/>
        <c:axId val="1"/>
      </c:scatterChart>
      <c:valAx>
        <c:axId val="4976358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crossBetween val="midCat"/>
      </c:val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97635824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8716327568820874"/>
          <c:y val="0.45798999898419945"/>
          <c:w val="0.10073126112465298"/>
          <c:h val="4.4598277054641151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4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2895863958254956E-2"/>
          <c:y val="6.7012559899640972E-2"/>
          <c:w val="0.87328077289571859"/>
          <c:h val="0.83250218644553997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yVal>
            <c:numRef>
              <c:f>'Raw Counts'!#REF!</c:f>
              <c:numCache>
                <c:formatCode>General</c:formatCode>
                <c:ptCount val="14"/>
                <c:pt idx="0">
                  <c:v>30100.467834920248</c:v>
                </c:pt>
                <c:pt idx="1">
                  <c:v>29782.857925111817</c:v>
                </c:pt>
                <c:pt idx="2">
                  <c:v>29861.211329763108</c:v>
                </c:pt>
                <c:pt idx="3">
                  <c:v>29704.49510507959</c:v>
                </c:pt>
                <c:pt idx="4">
                  <c:v>29641.809303390979</c:v>
                </c:pt>
                <c:pt idx="5">
                  <c:v>30064.951111443992</c:v>
                </c:pt>
                <c:pt idx="6">
                  <c:v>29638.680038476163</c:v>
                </c:pt>
                <c:pt idx="7">
                  <c:v>29843.448362489551</c:v>
                </c:pt>
                <c:pt idx="8">
                  <c:v>30105.69354818057</c:v>
                </c:pt>
                <c:pt idx="9">
                  <c:v>29624.046726126206</c:v>
                </c:pt>
                <c:pt idx="10">
                  <c:v>29509.127325162339</c:v>
                </c:pt>
                <c:pt idx="11">
                  <c:v>29495.54730522538</c:v>
                </c:pt>
                <c:pt idx="12">
                  <c:v>29089.148173589081</c:v>
                </c:pt>
                <c:pt idx="13">
                  <c:v>28808.12553393831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18D-4B8B-83C9-D8228BEA958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97637904"/>
        <c:axId val="1"/>
      </c:scatterChart>
      <c:valAx>
        <c:axId val="4976379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5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crossBetween val="midCat"/>
      </c:val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5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97637904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94513930506542354"/>
          <c:y val="0.46393310699751455"/>
          <c:w val="4.491158260606553E-2"/>
          <c:h val="3.8661092249792875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50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6925441943931333E-2"/>
          <c:y val="4.3884333401522028E-2"/>
          <c:w val="0.8164586679049074"/>
          <c:h val="0.88034632460022977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yVal>
            <c:numRef>
              <c:f>'Raw Counts'!$B$1:$B$100</c:f>
              <c:numCache>
                <c:formatCode>General</c:formatCode>
                <c:ptCount val="100"/>
                <c:pt idx="0">
                  <c:v>132795.36983586953</c:v>
                </c:pt>
                <c:pt idx="1">
                  <c:v>132776.39418250098</c:v>
                </c:pt>
                <c:pt idx="2">
                  <c:v>133084.98179984654</c:v>
                </c:pt>
                <c:pt idx="3">
                  <c:v>133154.79854291244</c:v>
                </c:pt>
                <c:pt idx="4">
                  <c:v>133860.91148842781</c:v>
                </c:pt>
                <c:pt idx="5">
                  <c:v>133636.83289228045</c:v>
                </c:pt>
                <c:pt idx="6">
                  <c:v>134440.31431844851</c:v>
                </c:pt>
                <c:pt idx="7">
                  <c:v>132944.43664538726</c:v>
                </c:pt>
                <c:pt idx="8">
                  <c:v>133765.81948678102</c:v>
                </c:pt>
                <c:pt idx="9">
                  <c:v>134030.09044183849</c:v>
                </c:pt>
                <c:pt idx="10">
                  <c:v>135336.84299410565</c:v>
                </c:pt>
                <c:pt idx="11">
                  <c:v>133708.68357746321</c:v>
                </c:pt>
                <c:pt idx="12">
                  <c:v>133995.17862939643</c:v>
                </c:pt>
                <c:pt idx="13">
                  <c:v>134831.47531939394</c:v>
                </c:pt>
                <c:pt idx="14">
                  <c:v>136542.26736791444</c:v>
                </c:pt>
                <c:pt idx="15">
                  <c:v>134956.21599452826</c:v>
                </c:pt>
                <c:pt idx="16">
                  <c:v>135706.92927572213</c:v>
                </c:pt>
                <c:pt idx="17">
                  <c:v>134974.18122922443</c:v>
                </c:pt>
                <c:pt idx="18">
                  <c:v>135024.93067229327</c:v>
                </c:pt>
                <c:pt idx="19">
                  <c:v>135843.35546093318</c:v>
                </c:pt>
                <c:pt idx="20">
                  <c:v>135758.6978986974</c:v>
                </c:pt>
                <c:pt idx="21">
                  <c:v>135812.59848528844</c:v>
                </c:pt>
                <c:pt idx="22">
                  <c:v>136450.29417900022</c:v>
                </c:pt>
                <c:pt idx="23">
                  <c:v>135832.69709121072</c:v>
                </c:pt>
                <c:pt idx="24">
                  <c:v>136092.8664044617</c:v>
                </c:pt>
                <c:pt idx="25">
                  <c:v>136130.93316171516</c:v>
                </c:pt>
                <c:pt idx="26">
                  <c:v>135975.52028758917</c:v>
                </c:pt>
                <c:pt idx="27">
                  <c:v>136102.40845658709</c:v>
                </c:pt>
                <c:pt idx="28">
                  <c:v>136069.62038338432</c:v>
                </c:pt>
                <c:pt idx="29">
                  <c:v>136928.24009552956</c:v>
                </c:pt>
                <c:pt idx="30">
                  <c:v>136798.19326489503</c:v>
                </c:pt>
                <c:pt idx="31">
                  <c:v>137876.89735906068</c:v>
                </c:pt>
                <c:pt idx="32">
                  <c:v>137083.66931934311</c:v>
                </c:pt>
                <c:pt idx="33">
                  <c:v>136553.94173573927</c:v>
                </c:pt>
                <c:pt idx="34">
                  <c:v>136872.20095125321</c:v>
                </c:pt>
                <c:pt idx="35">
                  <c:v>137260.31974897673</c:v>
                </c:pt>
                <c:pt idx="36">
                  <c:v>138277.75116207905</c:v>
                </c:pt>
                <c:pt idx="37">
                  <c:v>138575.96622278032</c:v>
                </c:pt>
                <c:pt idx="38">
                  <c:v>138107.4775081969</c:v>
                </c:pt>
                <c:pt idx="39">
                  <c:v>138029.19534623498</c:v>
                </c:pt>
                <c:pt idx="40">
                  <c:v>137183.06014287876</c:v>
                </c:pt>
                <c:pt idx="41">
                  <c:v>137092.1971919637</c:v>
                </c:pt>
                <c:pt idx="42">
                  <c:v>138564.39078698083</c:v>
                </c:pt>
                <c:pt idx="43">
                  <c:v>138671.21028255406</c:v>
                </c:pt>
                <c:pt idx="44">
                  <c:v>137774.24996052816</c:v>
                </c:pt>
                <c:pt idx="45">
                  <c:v>139061.43707626246</c:v>
                </c:pt>
                <c:pt idx="46">
                  <c:v>139081.54289349451</c:v>
                </c:pt>
                <c:pt idx="47">
                  <c:v>137792.22078604987</c:v>
                </c:pt>
                <c:pt idx="48">
                  <c:v>138552.71382726301</c:v>
                </c:pt>
                <c:pt idx="49">
                  <c:v>139035.03556587084</c:v>
                </c:pt>
                <c:pt idx="50">
                  <c:v>138543.16919311116</c:v>
                </c:pt>
                <c:pt idx="51">
                  <c:v>139379.8859724254</c:v>
                </c:pt>
                <c:pt idx="52">
                  <c:v>138983.24821135943</c:v>
                </c:pt>
                <c:pt idx="53">
                  <c:v>139735.3109106069</c:v>
                </c:pt>
                <c:pt idx="54">
                  <c:v>139312.15371668345</c:v>
                </c:pt>
                <c:pt idx="55">
                  <c:v>139943.69796126962</c:v>
                </c:pt>
                <c:pt idx="56">
                  <c:v>140732.91090925058</c:v>
                </c:pt>
                <c:pt idx="57">
                  <c:v>140950.86807990956</c:v>
                </c:pt>
                <c:pt idx="58">
                  <c:v>140536.08363850985</c:v>
                </c:pt>
                <c:pt idx="59">
                  <c:v>140494.84998446197</c:v>
                </c:pt>
                <c:pt idx="60">
                  <c:v>141270.29754923086</c:v>
                </c:pt>
                <c:pt idx="61">
                  <c:v>141612.08432439939</c:v>
                </c:pt>
                <c:pt idx="62">
                  <c:v>142602.47546552095</c:v>
                </c:pt>
                <c:pt idx="63">
                  <c:v>142002.53944608092</c:v>
                </c:pt>
                <c:pt idx="64">
                  <c:v>141766.57821164935</c:v>
                </c:pt>
                <c:pt idx="65">
                  <c:v>142187.71694639401</c:v>
                </c:pt>
                <c:pt idx="66">
                  <c:v>140738.19219526509</c:v>
                </c:pt>
                <c:pt idx="67">
                  <c:v>141023.79247971278</c:v>
                </c:pt>
                <c:pt idx="68">
                  <c:v>141946.46889284084</c:v>
                </c:pt>
                <c:pt idx="69">
                  <c:v>142465.94741905958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812-4ABC-ADB9-11EBC1D64C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97636656"/>
        <c:axId val="1"/>
      </c:scatterChart>
      <c:valAx>
        <c:axId val="4976366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crossBetween val="midCat"/>
      </c:val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97636656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91873453958036166"/>
          <c:y val="0.46676972799800698"/>
          <c:w val="7.2554678197117042E-2"/>
          <c:h val="3.4575535407259779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4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93</xdr:col>
      <xdr:colOff>60960</xdr:colOff>
      <xdr:row>0</xdr:row>
      <xdr:rowOff>0</xdr:rowOff>
    </xdr:from>
    <xdr:to>
      <xdr:col>103</xdr:col>
      <xdr:colOff>144780</xdr:colOff>
      <xdr:row>10</xdr:row>
      <xdr:rowOff>121920</xdr:rowOff>
    </xdr:to>
    <xdr:graphicFrame macro="">
      <xdr:nvGraphicFramePr>
        <xdr:cNvPr id="1027" name="Chart 3">
          <a:extLst>
            <a:ext uri="{FF2B5EF4-FFF2-40B4-BE49-F238E27FC236}">
              <a16:creationId xmlns:a16="http://schemas.microsoft.com/office/drawing/2014/main" id="{DDFA407D-6099-4BBA-B5C4-43448E4BFC3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586740</xdr:colOff>
      <xdr:row>14</xdr:row>
      <xdr:rowOff>121920</xdr:rowOff>
    </xdr:from>
    <xdr:to>
      <xdr:col>12</xdr:col>
      <xdr:colOff>548640</xdr:colOff>
      <xdr:row>37</xdr:row>
      <xdr:rowOff>99060</xdr:rowOff>
    </xdr:to>
    <xdr:graphicFrame macro="">
      <xdr:nvGraphicFramePr>
        <xdr:cNvPr id="1028" name="Chart 4">
          <a:extLst>
            <a:ext uri="{FF2B5EF4-FFF2-40B4-BE49-F238E27FC236}">
              <a16:creationId xmlns:a16="http://schemas.microsoft.com/office/drawing/2014/main" id="{B6FD2B6B-90D7-4D0E-99F4-BF577A49436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76200</xdr:colOff>
      <xdr:row>13</xdr:row>
      <xdr:rowOff>60960</xdr:rowOff>
    </xdr:from>
    <xdr:to>
      <xdr:col>15</xdr:col>
      <xdr:colOff>259080</xdr:colOff>
      <xdr:row>39</xdr:row>
      <xdr:rowOff>144780</xdr:rowOff>
    </xdr:to>
    <xdr:graphicFrame macro="">
      <xdr:nvGraphicFramePr>
        <xdr:cNvPr id="1029" name="Chart 5">
          <a:extLst>
            <a:ext uri="{FF2B5EF4-FFF2-40B4-BE49-F238E27FC236}">
              <a16:creationId xmlns:a16="http://schemas.microsoft.com/office/drawing/2014/main" id="{54A65031-3BA9-43EB-B6F6-DEFD6AF071B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52</xdr:col>
      <xdr:colOff>76200</xdr:colOff>
      <xdr:row>13</xdr:row>
      <xdr:rowOff>60960</xdr:rowOff>
    </xdr:from>
    <xdr:to>
      <xdr:col>62</xdr:col>
      <xdr:colOff>259080</xdr:colOff>
      <xdr:row>39</xdr:row>
      <xdr:rowOff>144780</xdr:rowOff>
    </xdr:to>
    <xdr:graphicFrame macro="">
      <xdr:nvGraphicFramePr>
        <xdr:cNvPr id="1030" name="Chart 6">
          <a:extLst>
            <a:ext uri="{FF2B5EF4-FFF2-40B4-BE49-F238E27FC236}">
              <a16:creationId xmlns:a16="http://schemas.microsoft.com/office/drawing/2014/main" id="{0D591096-79EE-405A-B812-F8E60C1B753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93</xdr:col>
      <xdr:colOff>160020</xdr:colOff>
      <xdr:row>0</xdr:row>
      <xdr:rowOff>0</xdr:rowOff>
    </xdr:from>
    <xdr:to>
      <xdr:col>105</xdr:col>
      <xdr:colOff>480060</xdr:colOff>
      <xdr:row>17</xdr:row>
      <xdr:rowOff>106680</xdr:rowOff>
    </xdr:to>
    <xdr:graphicFrame macro="">
      <xdr:nvGraphicFramePr>
        <xdr:cNvPr id="4097" name="Chart 1025">
          <a:extLst>
            <a:ext uri="{FF2B5EF4-FFF2-40B4-BE49-F238E27FC236}">
              <a16:creationId xmlns:a16="http://schemas.microsoft.com/office/drawing/2014/main" id="{4B98F9E0-758C-481D-887C-571529DCCF4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60960</xdr:colOff>
      <xdr:row>17</xdr:row>
      <xdr:rowOff>30480</xdr:rowOff>
    </xdr:from>
    <xdr:to>
      <xdr:col>21</xdr:col>
      <xdr:colOff>198120</xdr:colOff>
      <xdr:row>51</xdr:row>
      <xdr:rowOff>60960</xdr:rowOff>
    </xdr:to>
    <xdr:graphicFrame macro="">
      <xdr:nvGraphicFramePr>
        <xdr:cNvPr id="4098" name="Chart 1026">
          <a:extLst>
            <a:ext uri="{FF2B5EF4-FFF2-40B4-BE49-F238E27FC236}">
              <a16:creationId xmlns:a16="http://schemas.microsoft.com/office/drawing/2014/main" id="{1836DCE2-15CA-4C96-BA37-8DA3F3289FF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"/>
  <dimension ref="A1:AK33"/>
  <sheetViews>
    <sheetView tabSelected="1" zoomScale="125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A18" sqref="A18"/>
    </sheetView>
  </sheetViews>
  <sheetFormatPr baseColWidth="10" defaultColWidth="8.83203125" defaultRowHeight="13" x14ac:dyDescent="0.15"/>
  <cols>
    <col min="1" max="1" width="14.33203125" customWidth="1"/>
    <col min="2" max="2" width="7.33203125" customWidth="1"/>
    <col min="3" max="4" width="8.83203125" customWidth="1"/>
    <col min="5" max="5" width="8.1640625" customWidth="1"/>
    <col min="6" max="6" width="8.83203125" customWidth="1"/>
    <col min="7" max="7" width="12" bestFit="1" customWidth="1"/>
    <col min="8" max="8" width="12.5" bestFit="1" customWidth="1"/>
    <col min="9" max="9" width="9.5" customWidth="1"/>
    <col min="10" max="10" width="6.6640625" customWidth="1"/>
    <col min="11" max="30" width="8.83203125" customWidth="1"/>
    <col min="31" max="31" width="15.33203125" customWidth="1"/>
  </cols>
  <sheetData>
    <row r="1" spans="1:37" s="35" customFormat="1" ht="16" x14ac:dyDescent="0.2">
      <c r="A1" s="35" t="s">
        <v>34</v>
      </c>
      <c r="B1" s="35" t="s">
        <v>10</v>
      </c>
      <c r="C1" s="37" t="s">
        <v>43</v>
      </c>
      <c r="D1" s="38" t="s">
        <v>35</v>
      </c>
      <c r="E1" s="37" t="s">
        <v>44</v>
      </c>
      <c r="F1" s="38" t="s">
        <v>35</v>
      </c>
      <c r="G1" s="37" t="s">
        <v>45</v>
      </c>
      <c r="H1" s="38" t="s">
        <v>35</v>
      </c>
      <c r="I1" s="37" t="s">
        <v>46</v>
      </c>
      <c r="J1" s="38" t="s">
        <v>35</v>
      </c>
      <c r="K1" s="37" t="s">
        <v>47</v>
      </c>
      <c r="L1" s="38" t="s">
        <v>35</v>
      </c>
      <c r="M1" s="37" t="s">
        <v>48</v>
      </c>
      <c r="N1" s="38" t="s">
        <v>35</v>
      </c>
      <c r="O1" s="37" t="s">
        <v>49</v>
      </c>
      <c r="P1" s="38" t="s">
        <v>35</v>
      </c>
      <c r="Q1" s="37" t="s">
        <v>50</v>
      </c>
      <c r="R1" s="38" t="s">
        <v>35</v>
      </c>
      <c r="S1" s="37" t="s">
        <v>51</v>
      </c>
      <c r="T1" s="38" t="s">
        <v>35</v>
      </c>
      <c r="U1" s="37" t="s">
        <v>52</v>
      </c>
      <c r="V1" s="38" t="s">
        <v>35</v>
      </c>
      <c r="W1" s="37" t="s">
        <v>48</v>
      </c>
      <c r="X1" s="38" t="s">
        <v>35</v>
      </c>
      <c r="Y1" s="38" t="s">
        <v>53</v>
      </c>
      <c r="Z1" s="38" t="s">
        <v>35</v>
      </c>
      <c r="AA1" s="37" t="s">
        <v>50</v>
      </c>
      <c r="AB1" s="38" t="s">
        <v>35</v>
      </c>
      <c r="AC1" s="38" t="s">
        <v>54</v>
      </c>
      <c r="AD1" s="38" t="s">
        <v>35</v>
      </c>
      <c r="AE1" s="37" t="s">
        <v>52</v>
      </c>
      <c r="AF1" s="38" t="s">
        <v>35</v>
      </c>
      <c r="AG1" s="38" t="s">
        <v>55</v>
      </c>
      <c r="AH1" s="38" t="s">
        <v>56</v>
      </c>
      <c r="AI1" s="38" t="s">
        <v>57</v>
      </c>
      <c r="AJ1" s="38" t="s">
        <v>58</v>
      </c>
      <c r="AK1" s="38" t="s">
        <v>59</v>
      </c>
    </row>
    <row r="2" spans="1:37" s="51" customFormat="1" x14ac:dyDescent="0.15">
      <c r="A2" s="51" t="s">
        <v>37</v>
      </c>
      <c r="B2" s="51" t="s">
        <v>36</v>
      </c>
      <c r="C2" s="51">
        <v>0.74508737875901521</v>
      </c>
      <c r="D2" s="51">
        <v>1.2720492184315295E-3</v>
      </c>
      <c r="E2" s="51">
        <v>1</v>
      </c>
      <c r="F2" s="51">
        <v>0</v>
      </c>
      <c r="G2" s="51">
        <v>0.10424053067352952</v>
      </c>
      <c r="H2" s="51">
        <v>3.3467248047695314E-4</v>
      </c>
      <c r="I2" s="51">
        <v>6.8317512651848739E-2</v>
      </c>
      <c r="J2" s="51">
        <v>1.1443610750852788E-4</v>
      </c>
      <c r="K2" s="51">
        <v>4.3999346901743043E-2</v>
      </c>
      <c r="L2" s="51">
        <v>8.4068090900872003E-5</v>
      </c>
      <c r="M2" s="51">
        <v>102409.50175863301</v>
      </c>
      <c r="N2" s="51">
        <v>368.05218688879779</v>
      </c>
      <c r="O2" s="51">
        <v>137443.36898912684</v>
      </c>
      <c r="P2" s="51">
        <v>326.18868414964868</v>
      </c>
      <c r="Q2" s="51">
        <v>14328.537523371953</v>
      </c>
      <c r="R2" s="51">
        <v>50.479041625626792</v>
      </c>
      <c r="S2" s="51">
        <v>9395.3268518839868</v>
      </c>
      <c r="T2" s="51">
        <v>33.873957119412857</v>
      </c>
      <c r="U2" s="51">
        <v>6051.6958837252614</v>
      </c>
      <c r="V2" s="51">
        <v>22.270048448506163</v>
      </c>
      <c r="W2" s="51">
        <v>-254.91262124098481</v>
      </c>
      <c r="X2" s="51">
        <v>1.2720492184315295</v>
      </c>
      <c r="Y2" s="51">
        <v>497703.37123478961</v>
      </c>
      <c r="Z2" s="51">
        <v>0</v>
      </c>
      <c r="AA2" s="51">
        <v>-895.75946932647048</v>
      </c>
      <c r="AB2" s="51">
        <v>0.33467248047695314</v>
      </c>
      <c r="AC2" s="51">
        <v>33070.173873852356</v>
      </c>
      <c r="AD2" s="51">
        <v>57.069672605489664</v>
      </c>
      <c r="AE2" s="51">
        <v>-956.00065309825698</v>
      </c>
      <c r="AF2" s="51">
        <v>8.4068090900872E-2</v>
      </c>
      <c r="AG2" s="51">
        <v>3.3903216841573793</v>
      </c>
      <c r="AH2" s="51">
        <v>0</v>
      </c>
      <c r="AI2" s="51">
        <v>2.998024373592747</v>
      </c>
      <c r="AJ2" s="51">
        <v>1.2876957164225362</v>
      </c>
      <c r="AK2" s="51">
        <v>1.1924812323170468</v>
      </c>
    </row>
    <row r="3" spans="1:37" x14ac:dyDescent="0.15">
      <c r="A3" t="s">
        <v>60</v>
      </c>
      <c r="B3" t="s">
        <v>36</v>
      </c>
      <c r="C3">
        <v>0.76397876822715016</v>
      </c>
      <c r="D3">
        <v>1.2982831324414626E-3</v>
      </c>
      <c r="E3">
        <v>1</v>
      </c>
      <c r="F3">
        <v>0</v>
      </c>
      <c r="G3">
        <v>0.10501948880675835</v>
      </c>
      <c r="H3">
        <v>3.297523154942085E-4</v>
      </c>
      <c r="I3">
        <v>6.7114140519755158E-2</v>
      </c>
      <c r="J3">
        <v>1.447313637399797E-4</v>
      </c>
      <c r="K3">
        <v>4.3253052062538717E-2</v>
      </c>
      <c r="L3">
        <v>9.1101944094427615E-5</v>
      </c>
      <c r="M3">
        <v>108520.54844391493</v>
      </c>
      <c r="N3">
        <v>321.80696721970486</v>
      </c>
      <c r="O3">
        <v>142054.96108079754</v>
      </c>
      <c r="P3">
        <v>261.81702278492463</v>
      </c>
      <c r="Q3">
        <v>14920.929693462636</v>
      </c>
      <c r="R3">
        <v>54.381508026527982</v>
      </c>
      <c r="S3">
        <v>9537.6864351736349</v>
      </c>
      <c r="T3">
        <v>32.233806567949891</v>
      </c>
      <c r="U3">
        <v>6147.154457218996</v>
      </c>
      <c r="V3">
        <v>19.523581576624473</v>
      </c>
      <c r="W3">
        <v>-236.02123177284983</v>
      </c>
      <c r="X3">
        <v>1.2982831324414625</v>
      </c>
      <c r="Y3">
        <v>497703.37123478961</v>
      </c>
      <c r="Z3">
        <v>0</v>
      </c>
      <c r="AA3">
        <v>-894.98051119324157</v>
      </c>
      <c r="AB3">
        <v>0.32975231549420853</v>
      </c>
      <c r="AC3">
        <v>32470.048134727287</v>
      </c>
      <c r="AD3">
        <v>72.178019020536453</v>
      </c>
      <c r="AE3">
        <v>-956.7469479374613</v>
      </c>
      <c r="AF3">
        <v>9.1101944094427609E-2</v>
      </c>
      <c r="AG3">
        <v>2.8909239270973783</v>
      </c>
      <c r="AH3">
        <v>0</v>
      </c>
      <c r="AI3">
        <v>2.5024261920306592</v>
      </c>
      <c r="AJ3">
        <v>1.398276091536043</v>
      </c>
      <c r="AK3">
        <v>1.1088750385872836</v>
      </c>
    </row>
    <row r="4" spans="1:37" s="51" customFormat="1" x14ac:dyDescent="0.15">
      <c r="A4" s="51" t="s">
        <v>61</v>
      </c>
      <c r="B4" s="51" t="s">
        <v>36</v>
      </c>
      <c r="C4" s="51">
        <v>0.85359543875720933</v>
      </c>
      <c r="D4" s="51">
        <v>1.412155592831237E-3</v>
      </c>
      <c r="E4" s="51">
        <v>1</v>
      </c>
      <c r="F4" s="51">
        <v>0</v>
      </c>
      <c r="G4" s="51">
        <v>0.11221824673596217</v>
      </c>
      <c r="H4" s="51">
        <v>4.3621435201992388E-4</v>
      </c>
      <c r="I4" s="51">
        <v>6.5975978075743624E-2</v>
      </c>
      <c r="J4" s="51">
        <v>1.296744789536079E-4</v>
      </c>
      <c r="K4" s="51">
        <v>4.4030971068093346E-2</v>
      </c>
      <c r="L4" s="51">
        <v>9.8348699196556001E-5</v>
      </c>
      <c r="M4" s="51">
        <v>120838.88922090729</v>
      </c>
      <c r="N4" s="51">
        <v>356.472104683228</v>
      </c>
      <c r="O4" s="51">
        <v>141573.20820858871</v>
      </c>
      <c r="P4" s="51">
        <v>244.88328941737117</v>
      </c>
      <c r="Q4" s="51">
        <v>15887.191148725693</v>
      </c>
      <c r="R4" s="51">
        <v>54.783336727117579</v>
      </c>
      <c r="S4" s="51">
        <v>9343.7983496586967</v>
      </c>
      <c r="T4" s="51">
        <v>28.417187596089956</v>
      </c>
      <c r="U4" s="51">
        <v>6236.3946779887046</v>
      </c>
      <c r="V4" s="51">
        <v>19.975016334514759</v>
      </c>
      <c r="W4" s="51">
        <v>-146.40456124279066</v>
      </c>
      <c r="X4" s="51">
        <v>1.412155592831237</v>
      </c>
      <c r="Y4" s="51">
        <v>497703.37123478961</v>
      </c>
      <c r="Z4" s="51">
        <v>0</v>
      </c>
      <c r="AA4" s="51">
        <v>-887.78175326403789</v>
      </c>
      <c r="AB4" s="51">
        <v>0.43621435201992387</v>
      </c>
      <c r="AC4" s="51">
        <v>31902.442686885912</v>
      </c>
      <c r="AD4" s="51">
        <v>64.669099817279033</v>
      </c>
      <c r="AE4" s="51">
        <v>-955.96902893190656</v>
      </c>
      <c r="AF4" s="51">
        <v>9.8348699196556005E-2</v>
      </c>
      <c r="AG4" s="51">
        <v>2.897117397039684</v>
      </c>
      <c r="AH4" s="51">
        <v>0</v>
      </c>
      <c r="AI4" s="51">
        <v>3.186387214264887</v>
      </c>
      <c r="AJ4" s="51">
        <v>1.2620759916187974</v>
      </c>
      <c r="AK4" s="51">
        <v>1.1839954160763528</v>
      </c>
    </row>
    <row r="5" spans="1:37" s="51" customFormat="1" x14ac:dyDescent="0.15">
      <c r="A5" s="51" t="s">
        <v>62</v>
      </c>
      <c r="B5" s="51" t="s">
        <v>36</v>
      </c>
      <c r="C5" s="51">
        <v>0.59047298780284319</v>
      </c>
      <c r="D5" s="51">
        <v>9.5211698077094409E-4</v>
      </c>
      <c r="E5" s="51">
        <v>1</v>
      </c>
      <c r="F5" s="51">
        <v>0</v>
      </c>
      <c r="G5" s="51">
        <v>8.4033515384881019E-2</v>
      </c>
      <c r="H5" s="51">
        <v>2.9773580911785673E-4</v>
      </c>
      <c r="I5" s="51">
        <v>6.482335564664668E-2</v>
      </c>
      <c r="J5" s="51">
        <v>1.1487806690499998E-4</v>
      </c>
      <c r="K5" s="51">
        <v>4.1580435822923908E-2</v>
      </c>
      <c r="L5" s="51">
        <v>9.5275786099328642E-5</v>
      </c>
      <c r="M5" s="51">
        <v>80817.040837483684</v>
      </c>
      <c r="N5" s="51">
        <v>232.86028214031626</v>
      </c>
      <c r="O5" s="51">
        <v>136877.54453458334</v>
      </c>
      <c r="P5" s="51">
        <v>253.4384257058075</v>
      </c>
      <c r="Q5" s="51">
        <v>11503.737138365168</v>
      </c>
      <c r="R5" s="51">
        <v>39.057397263834268</v>
      </c>
      <c r="S5" s="51">
        <v>8877.1100097356921</v>
      </c>
      <c r="T5" s="51">
        <v>23.927413892525653</v>
      </c>
      <c r="U5" s="51">
        <v>5695.1594034400068</v>
      </c>
      <c r="V5" s="51">
        <v>18.976533939745316</v>
      </c>
      <c r="W5" s="51">
        <v>-409.52701219715681</v>
      </c>
      <c r="X5" s="51">
        <v>0.95211698077094409</v>
      </c>
      <c r="Y5" s="51">
        <v>497703.37123478961</v>
      </c>
      <c r="Z5" s="51">
        <v>0</v>
      </c>
      <c r="AA5" s="51">
        <v>-915.96648461511893</v>
      </c>
      <c r="AB5" s="51">
        <v>0.29773580911785674</v>
      </c>
      <c r="AC5" s="51">
        <v>31327.62599573443</v>
      </c>
      <c r="AD5" s="51">
        <v>57.290079246459193</v>
      </c>
      <c r="AE5" s="51">
        <v>-958.41956417707604</v>
      </c>
      <c r="AF5" s="51">
        <v>9.5275786099328644E-2</v>
      </c>
      <c r="AG5" s="51">
        <v>2.4929736832523282</v>
      </c>
      <c r="AH5" s="51">
        <v>0</v>
      </c>
      <c r="AI5" s="51">
        <v>2.5032729951596422</v>
      </c>
      <c r="AJ5" s="51">
        <v>1.1097622664720928</v>
      </c>
      <c r="AK5" s="51">
        <v>1.1620585543916329</v>
      </c>
    </row>
    <row r="6" spans="1:37" s="51" customFormat="1" ht="12" customHeight="1" x14ac:dyDescent="0.15">
      <c r="A6" s="51" t="s">
        <v>63</v>
      </c>
      <c r="B6" s="51" t="s">
        <v>36</v>
      </c>
      <c r="C6" s="51">
        <v>0.61701383439683333</v>
      </c>
      <c r="D6" s="51">
        <v>9.774122882456231E-4</v>
      </c>
      <c r="E6" s="51">
        <v>1</v>
      </c>
      <c r="F6" s="51">
        <v>0</v>
      </c>
      <c r="G6" s="51">
        <v>8.9096900734948539E-2</v>
      </c>
      <c r="H6" s="51">
        <v>3.9229088005002032E-4</v>
      </c>
      <c r="I6" s="51">
        <v>6.5305690601122957E-2</v>
      </c>
      <c r="J6" s="51">
        <v>1.0149559762196868E-4</v>
      </c>
      <c r="K6" s="51">
        <v>4.2106808921246297E-2</v>
      </c>
      <c r="L6" s="51">
        <v>9.5803881741268396E-5</v>
      </c>
      <c r="M6" s="51">
        <v>84514.062981099138</v>
      </c>
      <c r="N6" s="51">
        <v>231.55182698440697</v>
      </c>
      <c r="O6" s="51">
        <v>136980.18278844765</v>
      </c>
      <c r="P6" s="51">
        <v>239.95620548249903</v>
      </c>
      <c r="Q6" s="51">
        <v>12205.760611417605</v>
      </c>
      <c r="R6" s="51">
        <v>52.190614691841368</v>
      </c>
      <c r="S6" s="51">
        <v>8949.5875026289305</v>
      </c>
      <c r="T6" s="51">
        <v>24.470822570449084</v>
      </c>
      <c r="U6" s="51">
        <v>5771.100182269568</v>
      </c>
      <c r="V6" s="51">
        <v>18.777541167879555</v>
      </c>
      <c r="W6" s="51">
        <v>-382.98616560316668</v>
      </c>
      <c r="X6" s="51">
        <v>0.9774122882456231</v>
      </c>
      <c r="Y6" s="51">
        <v>497703.37123478961</v>
      </c>
      <c r="Z6" s="51">
        <v>0</v>
      </c>
      <c r="AA6" s="51">
        <v>-910.90309926505142</v>
      </c>
      <c r="AB6" s="51">
        <v>0.39229088005002033</v>
      </c>
      <c r="AC6" s="51">
        <v>31568.168063596127</v>
      </c>
      <c r="AD6" s="51">
        <v>50.616196699565471</v>
      </c>
      <c r="AE6" s="51">
        <v>-957.89319107875372</v>
      </c>
      <c r="AF6" s="51">
        <v>9.5803881741268401E-2</v>
      </c>
      <c r="AG6" s="51">
        <v>2.4838689962930749</v>
      </c>
      <c r="AH6" s="51">
        <v>0</v>
      </c>
      <c r="AI6" s="51">
        <v>3.1968820514460692</v>
      </c>
      <c r="AJ6" s="51">
        <v>0.97698583212649892</v>
      </c>
      <c r="AK6" s="51">
        <v>1.1612683786624389</v>
      </c>
    </row>
    <row r="7" spans="1:37" x14ac:dyDescent="0.15">
      <c r="A7" t="s">
        <v>64</v>
      </c>
      <c r="B7" t="s">
        <v>36</v>
      </c>
      <c r="C7">
        <v>0.64701504531808784</v>
      </c>
      <c r="D7">
        <v>1.0254621254185898E-3</v>
      </c>
      <c r="E7">
        <v>1</v>
      </c>
      <c r="F7">
        <v>0</v>
      </c>
      <c r="G7">
        <v>9.9172725276764018E-2</v>
      </c>
      <c r="H7">
        <v>3.460884416503158E-4</v>
      </c>
      <c r="I7">
        <v>6.8069548857638287E-2</v>
      </c>
      <c r="J7">
        <v>1.3754411123291136E-4</v>
      </c>
      <c r="K7">
        <v>4.4504954685955077E-2</v>
      </c>
      <c r="L7">
        <v>9.6858049814866994E-5</v>
      </c>
      <c r="M7">
        <v>90745.734848881882</v>
      </c>
      <c r="N7">
        <v>270.37181116503791</v>
      </c>
      <c r="O7">
        <v>140254.06801712306</v>
      </c>
      <c r="P7">
        <v>248.75083550213861</v>
      </c>
      <c r="Q7">
        <v>13910.887726190536</v>
      </c>
      <c r="R7">
        <v>51.375711509354858</v>
      </c>
      <c r="S7">
        <v>9550.9658338082409</v>
      </c>
      <c r="T7">
        <v>33.256639418446852</v>
      </c>
      <c r="U7">
        <v>6244.7124937363278</v>
      </c>
      <c r="V7">
        <v>19.831397376191717</v>
      </c>
      <c r="W7">
        <v>-352.98495468191214</v>
      </c>
      <c r="X7">
        <v>1.0254621254185898</v>
      </c>
      <c r="Y7">
        <v>497703.37123478961</v>
      </c>
      <c r="Z7">
        <v>0</v>
      </c>
      <c r="AA7">
        <v>-900.82727472323597</v>
      </c>
      <c r="AB7">
        <v>0.34608844165031583</v>
      </c>
      <c r="AC7">
        <v>32946.513493735431</v>
      </c>
      <c r="AD7">
        <v>68.593711965345776</v>
      </c>
      <c r="AE7">
        <v>-955.495045314045</v>
      </c>
      <c r="AF7">
        <v>9.6858049814866995E-2</v>
      </c>
      <c r="AG7">
        <v>2.5515491662073315</v>
      </c>
      <c r="AH7">
        <v>0</v>
      </c>
      <c r="AI7">
        <v>2.6925937216920208</v>
      </c>
      <c r="AJ7">
        <v>1.3105118768524981</v>
      </c>
      <c r="AK7">
        <v>1.1541386009928043</v>
      </c>
    </row>
    <row r="8" spans="1:37" x14ac:dyDescent="0.15">
      <c r="A8" t="s">
        <v>67</v>
      </c>
      <c r="B8" t="s">
        <v>36</v>
      </c>
      <c r="C8">
        <v>0.762338348602564</v>
      </c>
      <c r="D8">
        <v>1.4960158742049596E-3</v>
      </c>
      <c r="E8">
        <v>1</v>
      </c>
      <c r="F8">
        <v>0</v>
      </c>
      <c r="G8">
        <v>0.10755060090324781</v>
      </c>
      <c r="H8">
        <v>4.3358217103576737E-4</v>
      </c>
      <c r="I8">
        <v>6.7768342930912481E-2</v>
      </c>
      <c r="J8">
        <v>1.5871292082402113E-4</v>
      </c>
      <c r="K8">
        <v>4.4214590710954967E-2</v>
      </c>
      <c r="L8">
        <v>1.1039986833038563E-4</v>
      </c>
      <c r="M8">
        <v>106299.34201516274</v>
      </c>
      <c r="N8">
        <v>321.11821062009187</v>
      </c>
      <c r="O8">
        <v>139447.95750563595</v>
      </c>
      <c r="P8">
        <v>224.52685329252463</v>
      </c>
      <c r="Q8">
        <v>14999.845363229029</v>
      </c>
      <c r="R8">
        <v>60.974666474884074</v>
      </c>
      <c r="S8">
        <v>9454.627747322862</v>
      </c>
      <c r="T8">
        <v>32.105119846173203</v>
      </c>
      <c r="U8">
        <v>6169.1082458846222</v>
      </c>
      <c r="V8">
        <v>20.702679012830824</v>
      </c>
      <c r="W8">
        <v>-237.661651397436</v>
      </c>
      <c r="X8">
        <v>1.4960158742049596</v>
      </c>
      <c r="Y8">
        <v>497703.37123478961</v>
      </c>
      <c r="Z8">
        <v>0</v>
      </c>
      <c r="AA8">
        <v>-892.44939909675213</v>
      </c>
      <c r="AB8">
        <v>0.43358217103576735</v>
      </c>
      <c r="AC8">
        <v>32796.301082641374</v>
      </c>
      <c r="AD8">
        <v>79.150668673459577</v>
      </c>
      <c r="AE8">
        <v>-955.78540928904499</v>
      </c>
      <c r="AF8">
        <v>0.11039986833038563</v>
      </c>
      <c r="AG8">
        <v>3.3055907243537894</v>
      </c>
      <c r="AH8">
        <v>0</v>
      </c>
      <c r="AI8">
        <v>3.2177391412772449</v>
      </c>
      <c r="AJ8">
        <v>1.5114585828760099</v>
      </c>
      <c r="AK8">
        <v>1.3162783529425208</v>
      </c>
    </row>
    <row r="9" spans="1:37" s="51" customFormat="1" x14ac:dyDescent="0.15">
      <c r="A9" s="51" t="s">
        <v>66</v>
      </c>
      <c r="B9" s="51" t="s">
        <v>36</v>
      </c>
      <c r="C9" s="51">
        <v>0.70093470420618709</v>
      </c>
      <c r="D9" s="51">
        <v>1.3374373232129901E-3</v>
      </c>
      <c r="E9" s="51">
        <v>1</v>
      </c>
      <c r="F9" s="51">
        <v>0</v>
      </c>
      <c r="G9" s="51">
        <v>0.10084698429708169</v>
      </c>
      <c r="H9" s="51">
        <v>4.7101473732287513E-4</v>
      </c>
      <c r="I9" s="51">
        <v>6.8136043558747361E-2</v>
      </c>
      <c r="J9" s="51">
        <v>1.1874766816360813E-4</v>
      </c>
      <c r="K9" s="51">
        <v>4.4373700769754255E-2</v>
      </c>
      <c r="L9" s="51">
        <v>8.7977186753934232E-5</v>
      </c>
      <c r="M9" s="51">
        <v>97863.86290420829</v>
      </c>
      <c r="N9" s="51">
        <v>296.30492550192599</v>
      </c>
      <c r="O9" s="51">
        <v>139629.81421942665</v>
      </c>
      <c r="P9" s="51">
        <v>267.24996060978799</v>
      </c>
      <c r="Q9" s="51">
        <v>14083.180558939101</v>
      </c>
      <c r="R9" s="51">
        <v>65.177360887676556</v>
      </c>
      <c r="S9" s="51">
        <v>9518.5328265760854</v>
      </c>
      <c r="T9" s="51">
        <v>26.932240085141579</v>
      </c>
      <c r="U9" s="51">
        <v>6199.8262263086945</v>
      </c>
      <c r="V9" s="51">
        <v>18.605264414403504</v>
      </c>
      <c r="W9" s="51">
        <v>-299.06529579381294</v>
      </c>
      <c r="X9" s="51">
        <v>1.3374373232129901</v>
      </c>
      <c r="Y9" s="51">
        <v>497703.37123478961</v>
      </c>
      <c r="Z9" s="51">
        <v>0</v>
      </c>
      <c r="AA9" s="51">
        <v>-899.15301570291831</v>
      </c>
      <c r="AB9" s="51">
        <v>0.47101473732287513</v>
      </c>
      <c r="AC9" s="51">
        <v>32979.674625347776</v>
      </c>
      <c r="AD9" s="51">
        <v>59.219862439461473</v>
      </c>
      <c r="AE9" s="51">
        <v>-955.62629923024576</v>
      </c>
      <c r="AF9" s="51">
        <v>8.7977186753934233E-2</v>
      </c>
      <c r="AG9" s="51">
        <v>3.139089972300146</v>
      </c>
      <c r="AH9" s="51">
        <v>0</v>
      </c>
      <c r="AI9" s="51">
        <v>3.6231757284193638</v>
      </c>
      <c r="AJ9" s="51">
        <v>1.1283574446439595</v>
      </c>
      <c r="AK9" s="51">
        <v>1.0476929284551617</v>
      </c>
    </row>
    <row r="10" spans="1:37" s="51" customFormat="1" x14ac:dyDescent="0.15">
      <c r="A10" s="51" t="s">
        <v>68</v>
      </c>
      <c r="B10" s="51" t="s">
        <v>36</v>
      </c>
      <c r="C10" s="51">
        <v>0.68185628501894902</v>
      </c>
      <c r="D10" s="51">
        <v>1.1906616838202059E-3</v>
      </c>
      <c r="E10" s="51">
        <v>1</v>
      </c>
      <c r="F10" s="51">
        <v>0</v>
      </c>
      <c r="G10" s="51">
        <v>0.10088803854134304</v>
      </c>
      <c r="H10" s="51">
        <v>3.7911070481927293E-4</v>
      </c>
      <c r="I10" s="51">
        <v>6.7634311706180283E-2</v>
      </c>
      <c r="J10" s="51">
        <v>1.2028600607447387E-4</v>
      </c>
      <c r="K10" s="51">
        <v>4.3977243471883309E-2</v>
      </c>
      <c r="L10" s="51">
        <v>1.0095443177847171E-4</v>
      </c>
      <c r="M10" s="51">
        <v>94997.912125917836</v>
      </c>
      <c r="N10" s="51">
        <v>282.72243404241323</v>
      </c>
      <c r="O10" s="51">
        <v>139322.48826397973</v>
      </c>
      <c r="P10" s="51">
        <v>266.41907720656769</v>
      </c>
      <c r="Q10" s="51">
        <v>14056.413625665689</v>
      </c>
      <c r="R10" s="51">
        <v>53.359343631591663</v>
      </c>
      <c r="S10" s="51">
        <v>9425.7920746823092</v>
      </c>
      <c r="T10" s="51">
        <v>29.427962459816079</v>
      </c>
      <c r="U10" s="51">
        <v>6129.3280537353448</v>
      </c>
      <c r="V10" s="51">
        <v>21.569231524794471</v>
      </c>
      <c r="W10" s="51">
        <v>-318.143714981051</v>
      </c>
      <c r="X10" s="51">
        <v>1.190661683820206</v>
      </c>
      <c r="Y10" s="51">
        <v>497703.37123478961</v>
      </c>
      <c r="Z10" s="51">
        <v>0</v>
      </c>
      <c r="AA10" s="51">
        <v>-899.11196145865688</v>
      </c>
      <c r="AB10" s="51">
        <v>0.37911070481927295</v>
      </c>
      <c r="AC10" s="51">
        <v>32729.459259016701</v>
      </c>
      <c r="AD10" s="51">
        <v>59.987036741708494</v>
      </c>
      <c r="AE10" s="51">
        <v>-956.0227565281167</v>
      </c>
      <c r="AF10" s="51">
        <v>0.10095443177847171</v>
      </c>
      <c r="AG10" s="51">
        <v>2.8463727796038336</v>
      </c>
      <c r="AH10" s="51">
        <v>0</v>
      </c>
      <c r="AI10" s="51">
        <v>2.9122260930827486</v>
      </c>
      <c r="AJ10" s="51">
        <v>1.1461072210737548</v>
      </c>
      <c r="AK10" s="51">
        <v>1.2063921737293819</v>
      </c>
    </row>
    <row r="11" spans="1:37" x14ac:dyDescent="0.15">
      <c r="A11" t="s">
        <v>65</v>
      </c>
      <c r="B11" t="s">
        <v>36</v>
      </c>
      <c r="C11">
        <v>0.65597085926865728</v>
      </c>
      <c r="D11">
        <v>1.0889562488087172E-3</v>
      </c>
      <c r="E11">
        <v>1</v>
      </c>
      <c r="F11">
        <v>0</v>
      </c>
      <c r="G11">
        <v>9.8832662159468357E-2</v>
      </c>
      <c r="H11">
        <v>4.3842229464989866E-4</v>
      </c>
      <c r="I11">
        <v>6.6965254443134684E-2</v>
      </c>
      <c r="J11">
        <v>1.3294466114158863E-4</v>
      </c>
      <c r="K11">
        <v>4.3523946451374439E-2</v>
      </c>
      <c r="L11">
        <v>9.5685893159818785E-5</v>
      </c>
      <c r="M11">
        <v>91304.539925944293</v>
      </c>
      <c r="N11">
        <v>270.26397363131775</v>
      </c>
      <c r="O11">
        <v>139195.41559686931</v>
      </c>
      <c r="P11">
        <v>255.55141418603202</v>
      </c>
      <c r="Q11">
        <v>13758.384890533733</v>
      </c>
      <c r="R11">
        <v>63.896884543122091</v>
      </c>
      <c r="S11">
        <v>9324.3056079093894</v>
      </c>
      <c r="T11">
        <v>29.21814579805082</v>
      </c>
      <c r="U11">
        <v>6060.6593563771376</v>
      </c>
      <c r="V11">
        <v>18.927345182766608</v>
      </c>
      <c r="W11">
        <v>-344.02914073134269</v>
      </c>
      <c r="X11">
        <v>1.0889562488087172</v>
      </c>
      <c r="Y11">
        <v>497703.37123478961</v>
      </c>
      <c r="Z11">
        <v>0</v>
      </c>
      <c r="AA11">
        <v>-901.16733784053156</v>
      </c>
      <c r="AB11">
        <v>0.43842229464989868</v>
      </c>
      <c r="AC11">
        <v>32395.79814638674</v>
      </c>
      <c r="AD11">
        <v>66.299950698976971</v>
      </c>
      <c r="AE11">
        <v>-956.47605354862549</v>
      </c>
      <c r="AF11">
        <v>9.5685893159818791E-2</v>
      </c>
      <c r="AG11">
        <v>2.6735158945054036</v>
      </c>
      <c r="AH11">
        <v>0</v>
      </c>
      <c r="AI11">
        <v>3.4044099465890638</v>
      </c>
      <c r="AJ11">
        <v>1.2728689354135301</v>
      </c>
      <c r="AK11">
        <v>1.1491019334795283</v>
      </c>
    </row>
    <row r="12" spans="1:37" x14ac:dyDescent="0.15">
      <c r="A12" t="s">
        <v>69</v>
      </c>
      <c r="B12" t="s">
        <v>36</v>
      </c>
      <c r="C12">
        <v>0.75929491808996674</v>
      </c>
      <c r="D12">
        <v>1.373421929281882E-3</v>
      </c>
      <c r="E12">
        <v>1</v>
      </c>
      <c r="F12">
        <v>0</v>
      </c>
      <c r="G12">
        <v>0.10615541243362707</v>
      </c>
      <c r="H12">
        <v>3.6149611462971701E-4</v>
      </c>
      <c r="I12">
        <v>6.5833522430861824E-2</v>
      </c>
      <c r="J12">
        <v>1.1341925254626205E-4</v>
      </c>
      <c r="K12">
        <v>4.2765684896547085E-2</v>
      </c>
      <c r="L12">
        <v>8.1499771699928677E-5</v>
      </c>
      <c r="M12">
        <v>110346.76968314417</v>
      </c>
      <c r="N12">
        <v>345.20903831947652</v>
      </c>
      <c r="O12">
        <v>145329.18516927827</v>
      </c>
      <c r="P12">
        <v>271.74674000346062</v>
      </c>
      <c r="Q12">
        <v>15430.517903556731</v>
      </c>
      <c r="R12">
        <v>60.161388482357829</v>
      </c>
      <c r="S12">
        <v>9572.0121301648196</v>
      </c>
      <c r="T12">
        <v>29.990475758007797</v>
      </c>
      <c r="U12">
        <v>6218.5678497373619</v>
      </c>
      <c r="V12">
        <v>19.112192610494645</v>
      </c>
      <c r="W12">
        <v>-240.70508191003327</v>
      </c>
      <c r="X12">
        <v>1.3734219292818821</v>
      </c>
      <c r="Y12">
        <v>497703.37123478961</v>
      </c>
      <c r="Z12">
        <v>0</v>
      </c>
      <c r="AA12">
        <v>-893.84458756637298</v>
      </c>
      <c r="AB12">
        <v>0.36149611462971704</v>
      </c>
      <c r="AC12">
        <v>31831.399576531931</v>
      </c>
      <c r="AD12">
        <v>56.562563607750874</v>
      </c>
      <c r="AE12">
        <v>-957.2343151034529</v>
      </c>
      <c r="AF12">
        <v>8.1499771699928683E-2</v>
      </c>
      <c r="AG12">
        <v>3.106979793732207</v>
      </c>
      <c r="AH12">
        <v>0</v>
      </c>
      <c r="AI12">
        <v>2.7585014805616961</v>
      </c>
      <c r="AJ12">
        <v>1.1197575434678941</v>
      </c>
      <c r="AK12">
        <v>1.0093492720650805</v>
      </c>
    </row>
    <row r="13" spans="1:37" s="51" customFormat="1" x14ac:dyDescent="0.15">
      <c r="A13" s="51" t="s">
        <v>70</v>
      </c>
      <c r="B13" s="51" t="s">
        <v>36</v>
      </c>
      <c r="C13" s="51">
        <v>0.65130378080003781</v>
      </c>
      <c r="D13" s="51">
        <v>1.0020779788272849E-3</v>
      </c>
      <c r="E13" s="51">
        <v>1</v>
      </c>
      <c r="F13" s="51">
        <v>0</v>
      </c>
      <c r="G13" s="51">
        <v>9.3976899594726382E-2</v>
      </c>
      <c r="H13" s="51">
        <v>4.4761068918290414E-4</v>
      </c>
      <c r="I13" s="51">
        <v>6.3301666659318606E-2</v>
      </c>
      <c r="J13" s="51">
        <v>1.1693075550966589E-4</v>
      </c>
      <c r="K13" s="51">
        <v>4.0878788616731429E-2</v>
      </c>
      <c r="L13" s="51">
        <v>7.4891543001414705E-5</v>
      </c>
      <c r="M13" s="51">
        <v>95398.382923400262</v>
      </c>
      <c r="N13" s="51">
        <v>247.06922213918659</v>
      </c>
      <c r="O13" s="51">
        <v>146481.31070708195</v>
      </c>
      <c r="P13" s="51">
        <v>276.34435895319547</v>
      </c>
      <c r="Q13" s="51">
        <v>13765.515996221307</v>
      </c>
      <c r="R13" s="51">
        <v>59.864268458544267</v>
      </c>
      <c r="S13" s="51">
        <v>9275.7225877389064</v>
      </c>
      <c r="T13" s="51">
        <v>27.499751952898805</v>
      </c>
      <c r="U13" s="51">
        <v>5990.5446077790239</v>
      </c>
      <c r="V13" s="51">
        <v>17.425082302587455</v>
      </c>
      <c r="W13" s="51">
        <v>-348.69621919996217</v>
      </c>
      <c r="X13" s="51">
        <v>1.0020779788272849</v>
      </c>
      <c r="Y13" s="51">
        <v>497703.37123478961</v>
      </c>
      <c r="Z13" s="51">
        <v>0</v>
      </c>
      <c r="AA13" s="51">
        <v>-906.02310040527368</v>
      </c>
      <c r="AB13" s="51">
        <v>0.44761068918290414</v>
      </c>
      <c r="AC13" s="51">
        <v>30568.754567783068</v>
      </c>
      <c r="AD13" s="51">
        <v>58.313761973701318</v>
      </c>
      <c r="AE13" s="51">
        <v>-959.12121138326859</v>
      </c>
      <c r="AF13" s="51">
        <v>7.4891543001414707E-2</v>
      </c>
      <c r="AG13" s="51">
        <v>2.5363751292282126</v>
      </c>
      <c r="AH13" s="51">
        <v>0</v>
      </c>
      <c r="AI13" s="51">
        <v>3.6644232498902691</v>
      </c>
      <c r="AJ13" s="51">
        <v>1.1832824378395692</v>
      </c>
      <c r="AK13" s="51">
        <v>0.95323029599779363</v>
      </c>
    </row>
    <row r="14" spans="1:37" s="51" customFormat="1" x14ac:dyDescent="0.15">
      <c r="A14" s="51" t="s">
        <v>71</v>
      </c>
      <c r="B14" s="51" t="s">
        <v>36</v>
      </c>
      <c r="C14" s="51">
        <v>0.66404965142052963</v>
      </c>
      <c r="D14" s="51">
        <v>1.3100760357032573E-3</v>
      </c>
      <c r="E14" s="51">
        <v>1</v>
      </c>
      <c r="F14" s="51">
        <v>0</v>
      </c>
      <c r="G14" s="51">
        <v>9.5860220207085553E-2</v>
      </c>
      <c r="H14" s="51">
        <v>4.0168818602286208E-4</v>
      </c>
      <c r="I14" s="51">
        <v>6.4224020811740917E-2</v>
      </c>
      <c r="J14" s="51">
        <v>1.2141252964460077E-4</v>
      </c>
      <c r="K14" s="51">
        <v>4.1817199683558542E-2</v>
      </c>
      <c r="L14" s="51">
        <v>6.3098430562416773E-5</v>
      </c>
      <c r="M14" s="51">
        <v>96516.090432106663</v>
      </c>
      <c r="N14" s="51">
        <v>265.21518966233867</v>
      </c>
      <c r="O14" s="51">
        <v>145347.37998499328</v>
      </c>
      <c r="P14" s="51">
        <v>247.29577937941167</v>
      </c>
      <c r="Q14" s="51">
        <v>13933.948374708307</v>
      </c>
      <c r="R14" s="51">
        <v>59.230642376362589</v>
      </c>
      <c r="S14" s="51">
        <v>9337.5204631000852</v>
      </c>
      <c r="T14" s="51">
        <v>27.093736686707313</v>
      </c>
      <c r="U14" s="51">
        <v>6079.995705605711</v>
      </c>
      <c r="V14" s="51">
        <v>14.430080828004233</v>
      </c>
      <c r="W14" s="51">
        <v>-335.95034857947036</v>
      </c>
      <c r="X14" s="51">
        <v>1.3100760357032573</v>
      </c>
      <c r="Y14" s="51">
        <v>497703.37123478961</v>
      </c>
      <c r="Z14" s="51">
        <v>0</v>
      </c>
      <c r="AA14" s="51">
        <v>-904.13977979291451</v>
      </c>
      <c r="AB14" s="51">
        <v>0.4016881860228621</v>
      </c>
      <c r="AC14" s="51">
        <v>31028.735693068484</v>
      </c>
      <c r="AD14" s="51">
        <v>60.548837843906227</v>
      </c>
      <c r="AE14" s="51">
        <v>-958.18280031644144</v>
      </c>
      <c r="AF14" s="51">
        <v>6.3098430562416777E-2</v>
      </c>
      <c r="AG14" s="51">
        <v>3.2587266367115069</v>
      </c>
      <c r="AH14" s="51">
        <v>0</v>
      </c>
      <c r="AI14" s="51">
        <v>3.2407278482047892</v>
      </c>
      <c r="AJ14" s="51">
        <v>1.2144932315775974</v>
      </c>
      <c r="AK14" s="51">
        <v>0.79058816599826687</v>
      </c>
    </row>
    <row r="15" spans="1:37" x14ac:dyDescent="0.15">
      <c r="A15" t="s">
        <v>72</v>
      </c>
      <c r="B15" t="s">
        <v>36</v>
      </c>
      <c r="C15">
        <v>0.75264831733242243</v>
      </c>
      <c r="D15">
        <v>1.3143852256936824E-3</v>
      </c>
      <c r="E15">
        <v>1</v>
      </c>
      <c r="F15">
        <v>0</v>
      </c>
      <c r="G15">
        <v>0.10411932509684865</v>
      </c>
      <c r="H15">
        <v>3.9104003549164337E-4</v>
      </c>
      <c r="I15">
        <v>6.5362155052596196E-2</v>
      </c>
      <c r="J15">
        <v>1.0962933622158108E-4</v>
      </c>
      <c r="K15">
        <v>4.3096121171005704E-2</v>
      </c>
      <c r="L15">
        <v>7.5909400341141769E-5</v>
      </c>
      <c r="M15">
        <v>111477.65293493601</v>
      </c>
      <c r="N15">
        <v>356.38414875454993</v>
      </c>
      <c r="O15">
        <v>148112.48962461585</v>
      </c>
      <c r="P15">
        <v>277.30581722673878</v>
      </c>
      <c r="Q15">
        <v>15422.085834145939</v>
      </c>
      <c r="R15">
        <v>60.114023818580861</v>
      </c>
      <c r="S15">
        <v>9683.3327202528671</v>
      </c>
      <c r="T15">
        <v>27.066046664556048</v>
      </c>
      <c r="U15">
        <v>6385.1372865831636</v>
      </c>
      <c r="V15">
        <v>18.911852098120224</v>
      </c>
      <c r="W15">
        <v>-247.35168266757756</v>
      </c>
      <c r="X15">
        <v>1.3143852256936825</v>
      </c>
      <c r="Y15">
        <v>497703.37123478961</v>
      </c>
      <c r="Z15">
        <v>0</v>
      </c>
      <c r="AA15">
        <v>-895.88067490315143</v>
      </c>
      <c r="AB15">
        <v>0.39104003549164335</v>
      </c>
      <c r="AC15">
        <v>31596.327075900761</v>
      </c>
      <c r="AD15">
        <v>54.672519559934713</v>
      </c>
      <c r="AE15">
        <v>-956.90387882899427</v>
      </c>
      <c r="AF15">
        <v>7.5909400341141769E-2</v>
      </c>
      <c r="AG15">
        <v>3.0207158965857475</v>
      </c>
      <c r="AH15">
        <v>0</v>
      </c>
      <c r="AI15">
        <v>3.0442908398810045</v>
      </c>
      <c r="AJ15">
        <v>1.0967170519327341</v>
      </c>
      <c r="AK15">
        <v>0.94517252297577359</v>
      </c>
    </row>
    <row r="18" spans="1:4" x14ac:dyDescent="0.15">
      <c r="A18" s="54" t="s">
        <v>73</v>
      </c>
    </row>
    <row r="19" spans="1:4" ht="15" x14ac:dyDescent="0.15">
      <c r="B19" s="44"/>
      <c r="C19" s="37"/>
    </row>
    <row r="30" spans="1:4" x14ac:dyDescent="0.15">
      <c r="C30" s="45"/>
      <c r="D30" s="8"/>
    </row>
    <row r="32" spans="1:4" x14ac:dyDescent="0.15">
      <c r="C32" s="43"/>
      <c r="D32" s="43"/>
    </row>
    <row r="33" spans="3:4" x14ac:dyDescent="0.15">
      <c r="C33" s="43"/>
      <c r="D33" s="8"/>
    </row>
  </sheetData>
  <phoneticPr fontId="0" type="noConversion"/>
  <printOptions gridLines="1" gridLinesSet="0"/>
  <pageMargins left="0.75" right="0.75" top="1" bottom="1" header="0.5" footer="0.5"/>
  <pageSetup orientation="portrait" horizontalDpi="4294967292" verticalDpi="300" r:id="rId1"/>
  <headerFooter alignWithMargins="0">
    <oddHeader>&amp;A</oddHeader>
    <oddFooter>Page 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Sheet10"/>
  <dimension ref="A1:BR70"/>
  <sheetViews>
    <sheetView zoomScale="70" workbookViewId="0">
      <selection activeCell="Y52" sqref="Y52"/>
    </sheetView>
  </sheetViews>
  <sheetFormatPr baseColWidth="10" defaultColWidth="8.83203125" defaultRowHeight="13" x14ac:dyDescent="0.15"/>
  <cols>
    <col min="1" max="2" width="8.83203125" customWidth="1"/>
    <col min="3" max="3" width="9.83203125" customWidth="1"/>
    <col min="4" max="5" width="8.83203125" customWidth="1"/>
    <col min="6" max="10" width="8.83203125" style="36" customWidth="1"/>
    <col min="11" max="15" width="8.83203125" customWidth="1"/>
    <col min="16" max="16" width="9.1640625" style="36" customWidth="1"/>
    <col min="17" max="17" width="8.83203125" style="36" customWidth="1"/>
    <col min="18" max="18" width="9.1640625" style="36" customWidth="1"/>
    <col min="19" max="19" width="8.83203125" style="36" customWidth="1"/>
    <col min="20" max="20" width="9.1640625" style="36" customWidth="1"/>
    <col min="21" max="25" width="8.83203125" customWidth="1"/>
    <col min="26" max="30" width="9.1640625" style="36" customWidth="1"/>
    <col min="31" max="35" width="8.83203125" customWidth="1"/>
    <col min="36" max="40" width="9.1640625" style="36" customWidth="1"/>
    <col min="41" max="45" width="8.83203125" customWidth="1"/>
    <col min="46" max="50" width="9.1640625" style="36" customWidth="1"/>
    <col min="56" max="60" width="8.83203125" style="36"/>
    <col min="66" max="70" width="8.83203125" style="36"/>
    <col min="196" max="196" width="8.83203125" customWidth="1"/>
  </cols>
  <sheetData>
    <row r="1" spans="1:70" x14ac:dyDescent="0.15">
      <c r="A1">
        <f>95946.73*1.00531923651832</f>
        <v>96457.093350029376</v>
      </c>
      <c r="B1">
        <f>131829*1.00733047990859</f>
        <v>132795.36983586953</v>
      </c>
      <c r="C1">
        <f>14167.57*1.00078012838039</f>
        <v>14178.622523438164</v>
      </c>
      <c r="D1">
        <f>8781.109*1.00048331117262</f>
        <v>8785.3530080876935</v>
      </c>
      <c r="E1">
        <f>5726.942*1.00031513071369</f>
        <v>5728.7467353197208</v>
      </c>
      <c r="F1" s="36">
        <f>102792.6*1.00570202389064</f>
        <v>103378.72586098101</v>
      </c>
      <c r="G1" s="36">
        <f>137892.6*1.00767154805026</f>
        <v>138950.44970667528</v>
      </c>
      <c r="H1" s="36">
        <f>14021.73*1.00077208848753</f>
        <v>14032.556016308254</v>
      </c>
      <c r="I1" s="36">
        <f>9180.067*1.00050528642011</f>
        <v>9184.7055631907988</v>
      </c>
      <c r="J1" s="36">
        <f>6002.984*1.00033032772854</f>
        <v>6004.9669520691823</v>
      </c>
      <c r="K1">
        <f>115698.8*1.00642486804224</f>
        <v>116442.14952264553</v>
      </c>
      <c r="L1">
        <f>137505.1*1.0076497413862</f>
        <v>138556.97845428358</v>
      </c>
      <c r="M1">
        <f>15727.98*1.00086616306695</f>
        <v>15741.602995393727</v>
      </c>
      <c r="N1">
        <f>9049.859*1.00049811419511</f>
        <v>9054.3668632316439</v>
      </c>
      <c r="O1">
        <f>6033.192*1.00033199081979</f>
        <v>6035.194964358031</v>
      </c>
      <c r="P1" s="36">
        <f>77632.15*1.00429732361722</f>
        <v>77965.760471650559</v>
      </c>
      <c r="Q1" s="36">
        <f>133756.1*1.00743883867802</f>
        <v>134751.09005010111</v>
      </c>
      <c r="R1" s="36">
        <f>11284.23*1.00062121106544</f>
        <v>11291.239888540969</v>
      </c>
      <c r="S1" s="36">
        <f>8659.234*1.00047659839062</f>
        <v>8663.3609769884024</v>
      </c>
      <c r="T1" s="36">
        <f>5398.817*1.00029706726038</f>
        <v>5400.4208117754824</v>
      </c>
      <c r="U1">
        <f>81077.98*1.00448935492578</f>
        <v>81441.967828885288</v>
      </c>
      <c r="V1">
        <f>133512.4*1.00742513375214</f>
        <v>134503.74742756921</v>
      </c>
      <c r="W1">
        <f>11625.9*1.00064003849341</f>
        <v>11633.341023520536</v>
      </c>
      <c r="X1">
        <f>8741.525*1.00048113090129</f>
        <v>8745.7308178018993</v>
      </c>
      <c r="Y1">
        <f>5623.817*1.00030945352291</f>
        <v>5625.5573099828516</v>
      </c>
      <c r="Z1" s="36">
        <f>87388.4*1.00484131202181</f>
        <v>87811.47451148674</v>
      </c>
      <c r="AA1" s="36">
        <f>137215.5*1.00763344499682</f>
        <v>138262.92697196116</v>
      </c>
      <c r="AB1" s="36">
        <f>13282.15*1.00073131977616</f>
        <v>13291.863498964924</v>
      </c>
      <c r="AC1" s="36">
        <f>9265.484*1.00050999151391</f>
        <v>9270.209318212268</v>
      </c>
      <c r="AD1" s="36">
        <f>6188.4*1.00034053587464</f>
        <v>6190.5073722066218</v>
      </c>
      <c r="AE1">
        <f>101766.5*1.00564462151987</f>
        <v>102340.93337590185</v>
      </c>
      <c r="AF1">
        <f>135435.3*1.00753328687653</f>
        <v>136455.5729681089</v>
      </c>
      <c r="AG1">
        <f>15480.07*1.00085249283078</f>
        <v>15493.266648694973</v>
      </c>
      <c r="AH1">
        <f>9344.65*1.00051435233809</f>
        <v>9349.4564425761309</v>
      </c>
      <c r="AI1">
        <f>6034.234*1.00033204818689</f>
        <v>6036.2376564589704</v>
      </c>
      <c r="AJ1" s="36">
        <f>94082.15*1.00521505421875</f>
        <v>94572.793513266559</v>
      </c>
      <c r="AK1" s="36">
        <f>135938.4*1.0075615893976</f>
        <v>136966.31036416671</v>
      </c>
      <c r="AL1" s="36">
        <f>14201.94*1.00078202316395</f>
        <v>14213.046246053027</v>
      </c>
      <c r="AM1" s="36">
        <f>9250.9*1.00050918816692</f>
        <v>9255.6104488133587</v>
      </c>
      <c r="AN1" s="36">
        <f>6045.692*1.00033267900549</f>
        <v>6047.7032748020592</v>
      </c>
      <c r="AO1">
        <f>92199.86*1.00510991528279</f>
        <v>92670.993473685099</v>
      </c>
      <c r="AP1">
        <f>136982.2*1.00762031730094</f>
        <v>138026.04782858083</v>
      </c>
      <c r="AQ1">
        <f>14095.69*1.00077616574304</f>
        <v>14106.630591702513</v>
      </c>
      <c r="AR1">
        <f>9214.442*1.00050717991809</f>
        <v>9219.1153799388048</v>
      </c>
      <c r="AS1">
        <f>5923.817*1.00032596925545</f>
        <v>5925.7479822169125</v>
      </c>
      <c r="AT1" s="36">
        <f>88426.94*1.00489927102152</f>
        <v>88860.167544663695</v>
      </c>
      <c r="AU1" s="36">
        <f>135581.1*1.00754148879226</f>
        <v>136603.58334609229</v>
      </c>
      <c r="AV1" s="36">
        <f>13840.48*1.00076209677614</f>
        <v>13851.027785188229</v>
      </c>
      <c r="AW1" s="36">
        <f>9025.9*1.00049679448242</f>
        <v>9030.3840173188728</v>
      </c>
      <c r="AX1" s="36">
        <f>5756.109*1.00031673641969</f>
        <v>5757.9321693560059</v>
      </c>
      <c r="AY1">
        <f>104149.9*1.00577796947353</f>
        <v>104751.67494287121</v>
      </c>
      <c r="AZ1">
        <f>141884.2*1.00789625901589</f>
        <v>143004.55439346234</v>
      </c>
      <c r="BA1">
        <f>15165.48*1.00083514653724</f>
        <v>15178.145398107583</v>
      </c>
      <c r="BB1">
        <f>9258.192*1.00050958984017</f>
        <v>9262.9098805815411</v>
      </c>
      <c r="BC1">
        <f>6021.734*1.00033136000249</f>
        <v>6023.7293617932337</v>
      </c>
      <c r="BD1" s="36">
        <f>93440.48*1.00517920879154</f>
        <v>93924.427755501718</v>
      </c>
      <c r="BE1" s="36">
        <f>143505.1*1.00798755217231</f>
        <v>144651.35447324257</v>
      </c>
      <c r="BF1" s="36">
        <f>13509.23*1.00074383683566</f>
        <v>13519.278662895404</v>
      </c>
      <c r="BG1" s="36">
        <f>9185.275*1.00050557329469</f>
        <v>9189.9188297443834</v>
      </c>
      <c r="BH1" s="36">
        <f>5816.525*1.00032006247488</f>
        <v>5818.3866513867015</v>
      </c>
      <c r="BI1">
        <f>93114.44*1.00516099678408</f>
        <v>93595.003325391415</v>
      </c>
      <c r="BJ1">
        <f>142588.4*1.0079359182726</f>
        <v>143719.96988902078</v>
      </c>
      <c r="BK1">
        <f>13732.15*1.00075612504544</f>
        <v>13742.533222542739</v>
      </c>
      <c r="BL1">
        <f>9070.692*1.00049926172532</f>
        <v>9075.2206493377671</v>
      </c>
      <c r="BM1">
        <f>5926.942*1.00032614129863</f>
        <v>5928.8750205607848</v>
      </c>
      <c r="BN1" s="36">
        <f>104946.7*1.00582256119202</f>
        <v>105557.75858265055</v>
      </c>
      <c r="BO1" s="36">
        <f>144034.2*1.00801735779626</f>
        <v>145188.97371629806</v>
      </c>
      <c r="BP1" s="36">
        <f>15201.94*1.00083715687235</f>
        <v>15214.666408544052</v>
      </c>
      <c r="BQ1" s="36">
        <f>9388.4*1.00051676231201</f>
        <v>9393.2515712900731</v>
      </c>
      <c r="BR1" s="36">
        <f>6194.65*1.00034087997613</f>
        <v>6196.7616321441328</v>
      </c>
    </row>
    <row r="2" spans="1:70" x14ac:dyDescent="0.15">
      <c r="A2">
        <f>96204.03*1.00533361555072</f>
        <v>96717.145310449938</v>
      </c>
      <c r="B2">
        <f>131810.3*1.00732942859929</f>
        <v>132776.39418250098</v>
      </c>
      <c r="C2">
        <f>14329.03*1.00078902960141</f>
        <v>14340.336028829492</v>
      </c>
      <c r="D2">
        <f>8913.4*1.0004905978129</f>
        <v>8917.7728945455019</v>
      </c>
      <c r="E2">
        <f>5802.984*1.00031931700535</f>
        <v>5804.8369914729738</v>
      </c>
      <c r="F2" s="36">
        <f>106520.7*1.0059106652089</f>
        <v>107150.30819551767</v>
      </c>
      <c r="G2" s="36">
        <f>138716.5*1.0077179179553</f>
        <v>139787.10256604638</v>
      </c>
      <c r="H2" s="36">
        <f>14246.73*1.00078449240779</f>
        <v>14257.906451520834</v>
      </c>
      <c r="I2" s="36">
        <f>8771.734*1.00048279479997</f>
        <v>8775.9689475619198</v>
      </c>
      <c r="J2" s="36">
        <f>6082.15*1.00033468620356</f>
        <v>6084.1856116929821</v>
      </c>
      <c r="K2">
        <f>116901.9*1.00649233027929</f>
        <v>117660.86574507653</v>
      </c>
      <c r="L2">
        <f>138531.1*1.00770748290087</f>
        <v>139598.82608448874</v>
      </c>
      <c r="M2">
        <f>16401.94*1.00090332935522</f>
        <v>16416.756353884557</v>
      </c>
      <c r="N2">
        <f>9093.609*1.00050052405167</f>
        <v>9098.1605700209839</v>
      </c>
      <c r="O2">
        <f>6076.942*1.00033439947597</f>
        <v>6078.9741262202997</v>
      </c>
      <c r="P2" s="36">
        <f>78639.44*1.00435344707877</f>
        <v>78981.792640344109</v>
      </c>
      <c r="Q2" s="36">
        <f>134023.8*1.00745389393498</f>
        <v>135022.79918996297</v>
      </c>
      <c r="R2" s="36">
        <f>11300.9*1.00062212962662</f>
        <v>11307.93062469747</v>
      </c>
      <c r="S2" s="36">
        <f>8668.609*1.00047711475367</f>
        <v>8672.7449212476968</v>
      </c>
      <c r="T2" s="36">
        <f>5517.567*1.00030360439715</f>
        <v>5519.24215760277</v>
      </c>
      <c r="U2">
        <f>81261.32*1.0044995752997</f>
        <v>81626.961428293012</v>
      </c>
      <c r="V2">
        <f>133625.9*1.00743151656745</f>
        <v>134618.94308969041</v>
      </c>
      <c r="W2">
        <f>11719.65*1.00064520469141</f>
        <v>11727.211573161683</v>
      </c>
      <c r="X2">
        <f>8702.984*1.00047900809169</f>
        <v>8707.1527997578505</v>
      </c>
      <c r="Y2">
        <f>5645.692*1.00031065776742</f>
        <v>5647.4458780722607</v>
      </c>
      <c r="Z2" s="36">
        <f>88430.07*1.00489944571622</f>
        <v>88863.328327646537</v>
      </c>
      <c r="AA2" s="36">
        <f>136864.4*1.00761368893837</f>
        <v>137906.44296833663</v>
      </c>
      <c r="AB2" s="36">
        <f>13696.73*1.00075417252824</f>
        <v>13707.059697492721</v>
      </c>
      <c r="AC2" s="36">
        <f>9200.9*1.000506433975</f>
        <v>9205.5596483605768</v>
      </c>
      <c r="AD2" s="36">
        <f>6093.609*1.00033531708221</f>
        <v>6095.6522911900092</v>
      </c>
      <c r="AE2">
        <f>102292.6*1.00567405152193</f>
        <v>102873.01348271218</v>
      </c>
      <c r="AF2">
        <f>136634.2*1.0076007364385</f>
        <v>137672.7205426853</v>
      </c>
      <c r="AG2">
        <f>14977.98*1.00082480833496</f>
        <v>14990.333962744864</v>
      </c>
      <c r="AH2">
        <f>9355.067*1.00051492615819</f>
        <v>9359.8841687099193</v>
      </c>
      <c r="AI2">
        <f>6013.4*1.00033090117697</f>
        <v>6015.3898411375912</v>
      </c>
      <c r="AJ2" s="36">
        <f>94200.9*1.00522168833716</f>
        <v>94692.787740879983</v>
      </c>
      <c r="AK2" s="36">
        <f>135570.7*1.00754090373813</f>
        <v>136593.02559841092</v>
      </c>
      <c r="AL2" s="36">
        <f>13713.4*1.00075509145572</f>
        <v>13723.754871168869</v>
      </c>
      <c r="AM2" s="36">
        <f>9391.525*1.00051693445367</f>
        <v>9396.3798028450019</v>
      </c>
      <c r="AN2" s="36">
        <f>6100.9*1.000335718491</f>
        <v>6102.9481849417416</v>
      </c>
      <c r="AO2">
        <f>92272.78*1.00511398775469</f>
        <v>92744.661867011193</v>
      </c>
      <c r="AP2">
        <f>136260.3*1.00757969953976</f>
        <v>137293.11213319754</v>
      </c>
      <c r="AQ2">
        <f>13622.78*1.00075009609283</f>
        <v>13632.998394051483</v>
      </c>
      <c r="AR2">
        <f>9215.484*1.00050723731535</f>
        <v>9220.1584373638125</v>
      </c>
      <c r="AS2">
        <f>6008.192*1.00033061445263</f>
        <v>6010.1783951093767</v>
      </c>
      <c r="AT2" s="36">
        <f>88967.57*1.00492944655925</f>
        <v>89406.130881821344</v>
      </c>
      <c r="AU2" s="36">
        <f>135737.4*1.00755028160392</f>
        <v>136762.25559418392</v>
      </c>
      <c r="AV2" s="36">
        <f>13718.61*1.00075537865553</f>
        <v>13728.972745177542</v>
      </c>
      <c r="AW2" s="36">
        <f>9075.9*1.00049954859472</f>
        <v>9080.4338530908171</v>
      </c>
      <c r="AX2" s="36">
        <f>5781.109*1.00031811272956</f>
        <v>5782.948044363874</v>
      </c>
      <c r="AY2">
        <f>105237.4*1.00583883126146</f>
        <v>105851.86342099475</v>
      </c>
      <c r="AZ2">
        <f>140806.1*1.00783555148511</f>
        <v>141909.39344596755</v>
      </c>
      <c r="BA2">
        <f>15160.28*1.00083485982011</f>
        <v>15172.936708633619</v>
      </c>
      <c r="BB2">
        <f>9232.15*1.00050815534229</f>
        <v>9236.8413663433239</v>
      </c>
      <c r="BC2">
        <f>6114.442*1.00033646405227</f>
        <v>6116.4992899326899</v>
      </c>
      <c r="BD2" s="36">
        <f>92169.65*1.00510822811442</f>
        <v>92640.473597426244</v>
      </c>
      <c r="BE2" s="36">
        <f>142885.3*1.00795264054431</f>
        <v>144021.6154299659</v>
      </c>
      <c r="BF2" s="36">
        <f>14185.28*1.00078110471355</f>
        <v>14196.360189071027</v>
      </c>
      <c r="BG2" s="36">
        <f>9046.734*1.00049794206317</f>
        <v>9051.2387493929109</v>
      </c>
      <c r="BH2" s="36">
        <f>5941.525*1.00032694414966</f>
        <v>5943.4675468388086</v>
      </c>
      <c r="BI2">
        <f>92499.86*1.00512667014746</f>
        <v>92974.076270906226</v>
      </c>
      <c r="BJ2">
        <f>140240.5*1.00780370709332</f>
        <v>141334.89578462072</v>
      </c>
      <c r="BK2">
        <f>13417.57*1.00073878431446</f>
        <v>13427.482690254168</v>
      </c>
      <c r="BL2">
        <f>9033.192*1.00049719614074</f>
        <v>9037.6832682009626</v>
      </c>
      <c r="BM2">
        <f>5923.817*1.00032596925545</f>
        <v>5925.7479822169125</v>
      </c>
      <c r="BN2" s="36">
        <f>106148.8*1.00588984616328</f>
        <v>106774.00010241677</v>
      </c>
      <c r="BO2" s="36">
        <f>143466.5*1.00798537783437</f>
        <v>144612.13420907463</v>
      </c>
      <c r="BP2" s="36">
        <f>15676.94*1.00086334857697</f>
        <v>15690.474663840245</v>
      </c>
      <c r="BQ2" s="36">
        <f>9352.984*1.00051481141613</f>
        <v>9357.7990229380812</v>
      </c>
      <c r="BR2" s="36">
        <f>6227.984*1.00034271522681</f>
        <v>6230.1184249491298</v>
      </c>
    </row>
    <row r="3" spans="1:70" x14ac:dyDescent="0.15">
      <c r="A3">
        <f>96779.03*1.00536575126162</f>
        <v>97298.322202320865</v>
      </c>
      <c r="B3">
        <f>132114.4*1.00734652543437</f>
        <v>133084.98179984654</v>
      </c>
      <c r="C3">
        <f>14052.98*1.00077381122664</f>
        <v>14063.854353691748</v>
      </c>
      <c r="D3">
        <f>8952.984*1.00049277814614</f>
        <v>8957.3958348579399</v>
      </c>
      <c r="E3">
        <f>5815.484*1.00032000516489</f>
        <v>5817.3449849163353</v>
      </c>
      <c r="F3" s="36">
        <f>105542.6*1.00585591372665</f>
        <v>106160.64836008634</v>
      </c>
      <c r="G3" s="36">
        <f>139551.9*1.0077649416437</f>
        <v>140635.51235976745</v>
      </c>
      <c r="H3" s="36">
        <f>14507.15*1.00079884955674</f>
        <v>14518.739030347058</v>
      </c>
      <c r="I3" s="36">
        <f>9336.317*1.00051389331578</f>
        <v>9341.1148709003028</v>
      </c>
      <c r="J3" s="36">
        <f>6129.025*1.00033726692815</f>
        <v>6131.0921174343048</v>
      </c>
      <c r="K3">
        <f>114161.3*1.00633867454966</f>
        <v>114884.93132686611</v>
      </c>
      <c r="L3">
        <f>137946.7*1.00767459265483</f>
        <v>139005.38473057805</v>
      </c>
      <c r="M3">
        <f>16536.32*1.00091074038791</f>
        <v>16551.380294491406</v>
      </c>
      <c r="N3">
        <f>9255.067*1.0005094177023</f>
        <v>9259.7816949657717</v>
      </c>
      <c r="O3">
        <f>6095.692*1.00033543176252</f>
        <v>6097.7366887113385</v>
      </c>
      <c r="P3" s="36">
        <f>78013.4*1.00431856472305</f>
        <v>78350.305917165184</v>
      </c>
      <c r="Q3" s="36">
        <f>133297.8*1.00741306578342</f>
        <v>134285.94536018514</v>
      </c>
      <c r="R3" s="36">
        <f>11115.48*1.0006119126357</f>
        <v>11122.281702663871</v>
      </c>
      <c r="S3" s="36">
        <f>8484.234*1.00046695976051</f>
        <v>8488.1957958767507</v>
      </c>
      <c r="T3" s="36">
        <f>5607.15*1.00030853598785</f>
        <v>5608.880007564273</v>
      </c>
      <c r="U3">
        <f>81381.11*1.00450625321793</f>
        <v>81747.833888816225</v>
      </c>
      <c r="V3">
        <f>133779*1.00744012653122</f>
        <v>134774.3326872201</v>
      </c>
      <c r="W3">
        <f>12033.19*1.00066248324323</f>
        <v>12041.161786737604</v>
      </c>
      <c r="X3">
        <f>8590.484*1.00047281175271</f>
        <v>8594.5456817966678</v>
      </c>
      <c r="Y3">
        <f>5638.4*1.00031025633375</f>
        <v>5640.1493493122161</v>
      </c>
      <c r="Z3" s="36">
        <f>88260.28*1.00488996935804</f>
        <v>88691.870064732022</v>
      </c>
      <c r="AA3" s="36">
        <f>136592.6*1.00759839581426</f>
        <v>137630.4846400989</v>
      </c>
      <c r="AB3" s="36">
        <f>14237.36*1.00078397584421</f>
        <v>14248.521746325323</v>
      </c>
      <c r="AC3" s="36">
        <f>9118.609*1.00050190112038</f>
        <v>9123.1856400734068</v>
      </c>
      <c r="AD3" s="36">
        <f>6092.567*1.00033525971454</f>
        <v>6094.6095922732366</v>
      </c>
      <c r="AE3">
        <f>102785.3*1.00570161547724</f>
        <v>103371.34225731276</v>
      </c>
      <c r="AF3">
        <f>136791.5*1.00760958707168</f>
        <v>137832.4268299157</v>
      </c>
      <c r="AG3">
        <f>14772.78*1.00081349457363</f>
        <v>14784.797576367431</v>
      </c>
      <c r="AH3">
        <f>9136.317*1.00050287652913</f>
        <v>9140.9114393819909</v>
      </c>
      <c r="AI3">
        <f>5852.984*1.00032206965205</f>
        <v>5854.8690685203346</v>
      </c>
      <c r="AJ3" s="36">
        <f>94579.03*1.00524281392265</f>
        <v>95074.890255274717</v>
      </c>
      <c r="AK3" s="36">
        <f>135783.2*1.00755285817209</f>
        <v>136808.75125175255</v>
      </c>
      <c r="AL3" s="36">
        <f>13987.36*1.00077019376042</f>
        <v>13998.13297739675</v>
      </c>
      <c r="AM3" s="36">
        <f>9112.359*1.00050155685267</f>
        <v>9116.9293661004394</v>
      </c>
      <c r="AN3" s="36">
        <f>5958.192*1.00032786173538</f>
        <v>5960.1454631688466</v>
      </c>
      <c r="AO3">
        <f>92761.32*1.00514127325498</f>
        <v>93238.231293612655</v>
      </c>
      <c r="AP3">
        <f>136041.5*1.00756738971248</f>
        <v>137070.97904757035</v>
      </c>
      <c r="AQ3">
        <f>14091.53*1.00077593640988</f>
        <v>14102.464131197918</v>
      </c>
      <c r="AR3">
        <f>9310.275*1.00051245879938</f>
        <v>9315.046132348396</v>
      </c>
      <c r="AS3">
        <f>5951.942*1.00032751764732</f>
        <v>5953.8913660408252</v>
      </c>
      <c r="AT3" s="36">
        <f>87113.4*1.00482596646144</f>
        <v>87533.806346742014</v>
      </c>
      <c r="AU3" s="36">
        <f>135062.4*1.00751231046219</f>
        <v>136077.03068056848</v>
      </c>
      <c r="AV3" s="36">
        <f>13629.03*1.00075044061722</f>
        <v>13639.257777685312</v>
      </c>
      <c r="AW3" s="36">
        <f>9057.15*1.00049851579994</f>
        <v>9061.6651323774258</v>
      </c>
      <c r="AX3" s="36">
        <f>5972.775*1.00032866459054</f>
        <v>5974.7380396497629</v>
      </c>
      <c r="AY3">
        <f>106654*1.00591812768816</f>
        <v>107285.19199045301</v>
      </c>
      <c r="AZ3">
        <f>141499.9*1.00787461792152</f>
        <v>142614.15764843329</v>
      </c>
      <c r="BA3">
        <f>15352.98*1.00084548505998</f>
        <v>15365.96071521617</v>
      </c>
      <c r="BB3">
        <f>9380.067*1.00051630328638</f>
        <v>9384.9099594185627</v>
      </c>
      <c r="BC3">
        <f>5933.192*1.00032648538527</f>
        <v>5935.1291004760014</v>
      </c>
      <c r="BD3" s="36">
        <f>94612.36*1.00524467608635</f>
        <v>95108.571181965148</v>
      </c>
      <c r="BE3" s="36">
        <f>142496.7*1.00793075363047</f>
        <v>143626.80622085501</v>
      </c>
      <c r="BF3" s="36">
        <f>14343.61*1.00078983340229</f>
        <v>14354.939062287422</v>
      </c>
      <c r="BG3" s="36">
        <f>9072.775*1.00049937646203</f>
        <v>9077.3057302802936</v>
      </c>
      <c r="BH3" s="36">
        <f>5761.317*1.0003170231321</f>
        <v>5763.1434707603603</v>
      </c>
      <c r="BI3">
        <f>92281.11*1.00511445297577</f>
        <v>92753.077397646863</v>
      </c>
      <c r="BJ3">
        <f>141699.9*1.00788588035155</f>
        <v>142817.3284572266</v>
      </c>
      <c r="BK3">
        <f>13708.19*1.00075480425615</f>
        <v>13718.537000156113</v>
      </c>
      <c r="BL3">
        <f>8831.109*1.00048606517355</f>
        <v>8835.4014945287254</v>
      </c>
      <c r="BM3">
        <f>5960.275*1.00032797641312</f>
        <v>5962.2298296157087</v>
      </c>
      <c r="BN3" s="36">
        <f>107872.8*1.00598636698566</f>
        <v>108518.5661685707</v>
      </c>
      <c r="BO3" s="36">
        <f>144347.8*1.00803502497753</f>
        <v>145507.63817845151</v>
      </c>
      <c r="BP3" s="36">
        <f>15352.98*1.00084548505998</f>
        <v>15365.96071521617</v>
      </c>
      <c r="BQ3" s="36">
        <f>9441.525*1.00051968873233</f>
        <v>9446.4316541585122</v>
      </c>
      <c r="BR3" s="36">
        <f>6210.275*1.00034174023142</f>
        <v>6212.3973008156818</v>
      </c>
    </row>
    <row r="4" spans="1:70" x14ac:dyDescent="0.15">
      <c r="A4">
        <f>98954.03*1.00548733600901</f>
        <v>99497.024012055655</v>
      </c>
      <c r="B4">
        <f>132183.2*1.00735039356675</f>
        <v>133154.79854291244</v>
      </c>
      <c r="C4">
        <f>13974.86*1.00076950467118</f>
        <v>13985.613720049087</v>
      </c>
      <c r="D4">
        <f>9026.942*1.00049685187788</f>
        <v>9031.4270530842132</v>
      </c>
      <c r="E4">
        <f>5770.692*1.00031753924807</f>
        <v>5772.5244211985246</v>
      </c>
      <c r="F4" s="36">
        <f>104484.2*1.00579667734882</f>
        <v>105089.86119544959</v>
      </c>
      <c r="G4" s="36">
        <f>138922.8*1.00772952972738</f>
        <v>139996.60791241087</v>
      </c>
      <c r="H4" s="36">
        <f>15118.61*1.00083256223231</f>
        <v>15131.197183691025</v>
      </c>
      <c r="I4" s="36">
        <f>9400.9*1.00051745087919</f>
        <v>9405.7645039701783</v>
      </c>
      <c r="J4" s="36">
        <f>6033.192*1.00033199081979</f>
        <v>6035.194964358031</v>
      </c>
      <c r="K4">
        <f>115570.7*1.00641768580526</f>
        <v>116312.39644089396</v>
      </c>
      <c r="L4">
        <f>138224.9*1.00769024945014</f>
        <v>139287.88396122065</v>
      </c>
      <c r="M4">
        <f>16510.28*1.00090930427375</f>
        <v>16525.292868164808</v>
      </c>
      <c r="N4">
        <f>9085.275*1.00050006499331</f>
        <v>9089.818227982094</v>
      </c>
      <c r="O4">
        <f>6047.775*1.0003327936849</f>
        <v>6049.7876613276958</v>
      </c>
      <c r="P4" s="36">
        <f>79160.28*1.00438247056394</f>
        <v>79507.197596933242</v>
      </c>
      <c r="Q4" s="36">
        <f>132797.8*1.00738495011462</f>
        <v>133778.50512833125</v>
      </c>
      <c r="R4" s="36">
        <f>11575.9*1.00063728322053</f>
        <v>11583.277126832532</v>
      </c>
      <c r="S4" s="36">
        <f>8481.109*1.00046678764464</f>
        <v>8485.0678768940452</v>
      </c>
      <c r="T4" s="36">
        <f>5450.9*1.0002999343915</f>
        <v>5452.5349123746273</v>
      </c>
      <c r="U4">
        <f>81560.28*1.00451624163458</f>
        <v>81928.625932264011</v>
      </c>
      <c r="V4">
        <f>133484.2*1.00742354790852</f>
        <v>134475.12635373048</v>
      </c>
      <c r="W4">
        <f>11934.23*1.00065702966218</f>
        <v>11942.071143105277</v>
      </c>
      <c r="X4">
        <f>8697.775*1.00047872118488</f>
        <v>8701.9388091538185</v>
      </c>
      <c r="Y4">
        <f>5657.15*1.00031128854555</f>
        <v>5658.9110059954583</v>
      </c>
      <c r="Z4" s="36">
        <f>87407.15*1.00484235833566</f>
        <v>87830.40674139878</v>
      </c>
      <c r="AA4" s="36">
        <f>137757.2*1.00766392821848</f>
        <v>138812.96129237881</v>
      </c>
      <c r="AB4" s="36">
        <f>13418.61*1.00073884164135</f>
        <v>13428.524227837037</v>
      </c>
      <c r="AC4" s="36">
        <f>9189.442*1.00050580282758</f>
        <v>9194.0900457474818</v>
      </c>
      <c r="AD4" s="36">
        <f>5975.9*1.00032883663512</f>
        <v>5977.8650948478125</v>
      </c>
      <c r="AE4">
        <f>101045.7*1.00560430421362</f>
        <v>101611.99084227819</v>
      </c>
      <c r="AF4">
        <f>136594.7*1.00759851397038</f>
        <v>137632.61673622989</v>
      </c>
      <c r="AG4">
        <f>14845.69*1.00081751444361</f>
        <v>14857.826566000356</v>
      </c>
      <c r="AH4">
        <f>9125.9*1.00050230272977</f>
        <v>9130.4839644816075</v>
      </c>
      <c r="AI4">
        <f>5967.567*1.00032837786813</f>
        <v>5969.5266169293827</v>
      </c>
      <c r="AJ4" s="36">
        <f>95182.15*1.00527651214072</f>
        <v>95684.379770054817</v>
      </c>
      <c r="AK4" s="36">
        <f>135884.2*1.00755854019377</f>
        <v>136911.28618739828</v>
      </c>
      <c r="AL4" s="36">
        <f>14937.36*1.00082256870905</f>
        <v>14949.647004931816</v>
      </c>
      <c r="AM4" s="36">
        <f>9336.317*1.00051389331578</f>
        <v>9341.1148709003028</v>
      </c>
      <c r="AN4" s="36">
        <f>5995.692*1.00032992627119</f>
        <v>5997.6701363047641</v>
      </c>
      <c r="AO4">
        <f>92916.53*1.00514994237134</f>
        <v>93395.044774844879</v>
      </c>
      <c r="AP4">
        <f>135974.9*1.00756364284386</f>
        <v>137003.36557932955</v>
      </c>
      <c r="AQ4">
        <f>13996.73*1.00077071030264</f>
        <v>14007.51742401427</v>
      </c>
      <c r="AR4">
        <f>9363.4*1.00051538518193</f>
        <v>9368.225757612483</v>
      </c>
      <c r="AS4">
        <f>5921.734*1.00032585457839</f>
        <v>5923.6636241359083</v>
      </c>
      <c r="AT4" s="36">
        <f>89794.65*1.00497561571811</f>
        <v>90241.433671942184</v>
      </c>
      <c r="AU4" s="36">
        <f>134999.9*1.00750879483338</f>
        <v>136013.58655162682</v>
      </c>
      <c r="AV4" s="36">
        <f>13609.23*1.00074934916517</f>
        <v>13619.428065139105</v>
      </c>
      <c r="AW4" s="36">
        <f>9116.525*1.00050178632772</f>
        <v>9121.0995476013159</v>
      </c>
      <c r="AX4" s="36">
        <f>6007.15*1.00033055708577</f>
        <v>6009.1357059977827</v>
      </c>
      <c r="AY4">
        <f>106782.2*1.00592530481318</f>
        <v>107414.91708362194</v>
      </c>
      <c r="AZ4">
        <f>141725.9*1.00788734449525</f>
        <v>142843.74099719935</v>
      </c>
      <c r="BA4">
        <f>14995.69*1.00082578479892</f>
        <v>15008.073212851315</v>
      </c>
      <c r="BB4">
        <f>9300.9*1.00051194238159</f>
        <v>9305.6615248969301</v>
      </c>
      <c r="BC4">
        <f>6063.4*1.00033365391932</f>
        <v>6065.4230771744042</v>
      </c>
      <c r="BD4" s="36">
        <f>92358.19*1.00511875783728</f>
        <v>92830.949208899503</v>
      </c>
      <c r="BE4" s="36">
        <f>143066.5*1.00796284666542</f>
        <v>144205.71660245833</v>
      </c>
      <c r="BF4" s="36">
        <f>14037.36*1.00077295013161</f>
        <v>14048.210179259459</v>
      </c>
      <c r="BG4" s="36">
        <f>9088.4*1.00050023712635</f>
        <v>9092.9463550991186</v>
      </c>
      <c r="BH4" s="36">
        <f>5871.734*1.00032310190043</f>
        <v>5873.6311684142192</v>
      </c>
      <c r="BI4">
        <f>96387.36*1.00534386119793</f>
        <v>96902.440673074903</v>
      </c>
      <c r="BJ4">
        <f>142526.9*1.007932454518</f>
        <v>143657.48815184154</v>
      </c>
      <c r="BK4">
        <f>13529.03*1.00074492826967</f>
        <v>13539.108156908216</v>
      </c>
      <c r="BL4">
        <f>8956.109*1.00049295027542</f>
        <v>8960.5239163982424</v>
      </c>
      <c r="BM4">
        <f>5968.609*1.00032843523462</f>
        <v>5970.5693014972703</v>
      </c>
      <c r="BN4" s="36">
        <f>108393.6*1.00601553025913</f>
        <v>109045.64498069604</v>
      </c>
      <c r="BO4" s="36">
        <f>143874.9*1.00800838372058</f>
        <v>145027.10540696007</v>
      </c>
      <c r="BP4" s="36">
        <f>15873.82*1.00087420522796</f>
        <v>15887.696976431696</v>
      </c>
      <c r="BQ4" s="36">
        <f>9483.192*1.00052198400028</f>
        <v>9488.1420744955813</v>
      </c>
      <c r="BR4" s="36">
        <f>6251.942*1.00034403427474</f>
        <v>6254.0928823316872</v>
      </c>
    </row>
    <row r="5" spans="1:70" x14ac:dyDescent="0.15">
      <c r="A5">
        <f>98980.07*1.00548879193961</f>
        <v>99523.351010398052</v>
      </c>
      <c r="B5">
        <f>132879*1.00738951593877</f>
        <v>133860.91148842781</v>
      </c>
      <c r="C5">
        <f>14052.98*1.00077381122664</f>
        <v>14063.854353691748</v>
      </c>
      <c r="D5">
        <f>9059.234*1.00049863059148</f>
        <v>9063.7512112077766</v>
      </c>
      <c r="E5">
        <f>5860.275*1.0003224710449</f>
        <v>5862.1647690026502</v>
      </c>
      <c r="F5" s="36">
        <f>104712.4*1.00580944832677</f>
        <v>105320.72127697208</v>
      </c>
      <c r="G5" s="36">
        <f>138928*1.00772982241903</f>
        <v>140001.88876903101</v>
      </c>
      <c r="H5" s="36">
        <f>14471.73*1.00079689678939</f>
        <v>14483.26247517392</v>
      </c>
      <c r="I5" s="36">
        <f>9406.109*1.00051773781932</f>
        <v>9410.9788983619455</v>
      </c>
      <c r="J5" s="36">
        <f>5945.692*1.00032717355961</f>
        <v>5947.6372732159844</v>
      </c>
      <c r="K5">
        <f>117564.4*1.00652948489237</f>
        <v>118332.03497368054</v>
      </c>
      <c r="L5">
        <f>138781.1*1.00772155397833</f>
        <v>139852.705754822</v>
      </c>
      <c r="M5">
        <f>14927.98*1.00082205153514</f>
        <v>14940.251568875539</v>
      </c>
      <c r="N5">
        <f>9102.984*1.00050104045177</f>
        <v>9107.5449632158161</v>
      </c>
      <c r="O5">
        <f>5996.734*1.00032998363794</f>
        <v>5998.7128241010787</v>
      </c>
      <c r="P5" s="36">
        <f>77899.86*1.00431223877169</f>
        <v>78235.782796601226</v>
      </c>
      <c r="Q5" s="36">
        <f>133489.4*1.00742384033302</f>
        <v>134480.40399175065</v>
      </c>
      <c r="R5" s="36">
        <f>11065.48*1.0006091575952</f>
        <v>11072.220621186534</v>
      </c>
      <c r="S5" s="36">
        <f>8731.109*1.00048055719442</f>
        <v>8735.304797245215</v>
      </c>
      <c r="T5" s="36">
        <f>5507.15*1.00030303094062</f>
        <v>5508.8188368446354</v>
      </c>
      <c r="U5">
        <f>82222.78*1.00455317745183</f>
        <v>82597.15490792277</v>
      </c>
      <c r="V5">
        <f>133121.7*1.00740316317572</f>
        <v>134107.22166732926</v>
      </c>
      <c r="W5">
        <f>12927.98*1.00071179822418</f>
        <v>12937.182113206234</v>
      </c>
      <c r="X5">
        <f>8817.567*1.00048531927769</f>
        <v>8821.8463352474209</v>
      </c>
      <c r="Y5">
        <f>5784.234*1.00031828476869</f>
        <v>5786.0750335807388</v>
      </c>
      <c r="Z5" s="36">
        <f>88522.78*1.0049046201812</f>
        <v>88956.950613283931</v>
      </c>
      <c r="AA5" s="36">
        <f>136820.7*1.00761123006301</f>
        <v>137862.07382508207</v>
      </c>
      <c r="AB5" s="36">
        <f>13499.86*1.00074332033506</f>
        <v>13509.894720458464</v>
      </c>
      <c r="AC5" s="36">
        <f>9247.775*1.00050901602926</f>
        <v>9252.4822657099903</v>
      </c>
      <c r="AD5" s="36">
        <f>6085.275*1.00033485825125</f>
        <v>6087.3127045448746</v>
      </c>
      <c r="AE5">
        <f>101912.4*1.00565278289764</f>
        <v>102488.48867177745</v>
      </c>
      <c r="AF5">
        <f>136264.4*1.00757993021269</f>
        <v>137297.27464247408</v>
      </c>
      <c r="AG5">
        <f>14215.48*1.0007827696135</f>
        <v>14226.607445785317</v>
      </c>
      <c r="AH5">
        <f>9200.9*1.000506433975</f>
        <v>9205.5596483605768</v>
      </c>
      <c r="AI5">
        <f>6117.567*1.00033663610087</f>
        <v>6119.6263939016917</v>
      </c>
      <c r="AJ5" s="36">
        <f>94439.44*1.00523501507247</f>
        <v>94933.831891835638</v>
      </c>
      <c r="AK5" s="36">
        <f>137105.1*1.00762723276973</f>
        <v>138150.8325116171</v>
      </c>
      <c r="AL5" s="36">
        <f>14595.69*1.00080373097381</f>
        <v>14607.421008137129</v>
      </c>
      <c r="AM5" s="36">
        <f>9157.15*1.00050402407573</f>
        <v>9161.76542406507</v>
      </c>
      <c r="AN5" s="36">
        <f>5981.109*1.00032912341298</f>
        <v>5983.077523007486</v>
      </c>
      <c r="AO5">
        <f>92820.69*1.00514458928694</f>
        <v>93298.214327380381</v>
      </c>
      <c r="AP5">
        <f>136789.4*1.00760946891166</f>
        <v>137830.2946867446</v>
      </c>
      <c r="AQ5">
        <f>14398.82*1.00079287716792</f>
        <v>14410.236495622989</v>
      </c>
      <c r="AR5">
        <f>9265.484*1.00050999151391</f>
        <v>9270.209318212268</v>
      </c>
      <c r="AS5">
        <f>5770.692*1.00031753924807</f>
        <v>5772.5244211985246</v>
      </c>
      <c r="AT5" s="36">
        <f>88345.69*1.00489473624686</f>
        <v>88778.118851096864</v>
      </c>
      <c r="AU5" s="36">
        <f>135500.9*1.00753697715122</f>
        <v>136522.16718726972</v>
      </c>
      <c r="AV5" s="36">
        <f>13769.65*1.0007581922345</f>
        <v>13780.090041701782</v>
      </c>
      <c r="AW5" s="36">
        <f>9101.942*1.00050098305558</f>
        <v>9106.5019187148719</v>
      </c>
      <c r="AX5" s="36">
        <f>5982.15*1.00032918072454</f>
        <v>5984.1192084713066</v>
      </c>
      <c r="AY5">
        <f>107169.7*1.005946999477</f>
        <v>107807.03814985025</v>
      </c>
      <c r="AZ5">
        <f>142067.6*1.0079065873167</f>
        <v>143190.869884274</v>
      </c>
      <c r="BA5">
        <f>14575.9*1.00080263989867</f>
        <v>14587.599198899024</v>
      </c>
      <c r="BB5">
        <f>9371.734*1.00051584426138</f>
        <v>9376.5683552030805</v>
      </c>
      <c r="BC5">
        <f>6176.942*1.00033990504117</f>
        <v>6179.041573724815</v>
      </c>
      <c r="BD5" s="36">
        <f>94820.69*1.00525631582205</f>
        <v>95319.097493104695</v>
      </c>
      <c r="BE5" s="36">
        <f>143344.7*1.00797851693305</f>
        <v>144488.37811621299</v>
      </c>
      <c r="BF5" s="36">
        <f>13191.53*1.00072632476933</f>
        <v>13201.111334984362</v>
      </c>
      <c r="BG5" s="36">
        <f>9072.775*1.00049937646203</f>
        <v>9077.3057302802936</v>
      </c>
      <c r="BH5" s="36">
        <f>5852.984*1.00032206965205</f>
        <v>5854.8690685203346</v>
      </c>
      <c r="BI5">
        <f>93421.73*1.00517816142342</f>
        <v>93905.482798395169</v>
      </c>
      <c r="BJ5">
        <f>141618.6*1.00788130212809</f>
        <v>142734.73897355711</v>
      </c>
      <c r="BK5">
        <f>13356.11*1.00073539653328</f>
        <v>13365.932036992106</v>
      </c>
      <c r="BL5">
        <f>8908.192*1.00049031095121</f>
        <v>8912.5597840930805</v>
      </c>
      <c r="BM5">
        <f>5969.65*1.00032849254606</f>
        <v>5971.6109855275872</v>
      </c>
      <c r="BN5" s="36">
        <f>108975.9*1.00604814036139</f>
        <v>109635.00153920878</v>
      </c>
      <c r="BO5" s="36">
        <f>144967.6*1.00806994518777</f>
        <v>146137.48058600255</v>
      </c>
      <c r="BP5" s="36">
        <f>15436.32*1.00085008042946</f>
        <v>15449.442113534882</v>
      </c>
      <c r="BQ5" s="36">
        <f>9556.109*1.00052600074345</f>
        <v>9561.135520438489</v>
      </c>
      <c r="BR5" s="36">
        <f>6324.859*1.00034804887475</f>
        <v>6327.0603600579034</v>
      </c>
    </row>
    <row r="6" spans="1:70" x14ac:dyDescent="0.15">
      <c r="A6">
        <f>96649.86*1.00535853191491</f>
        <v>97167.761359381591</v>
      </c>
      <c r="B6">
        <f>132658.2*1.0073771006412</f>
        <v>133636.83289228045</v>
      </c>
      <c r="C6">
        <f>13680.07*1.00075325415453</f>
        <v>13690.374569561762</v>
      </c>
      <c r="D6">
        <f>8893.609*1.00048950770671</f>
        <v>8897.9624901459647</v>
      </c>
      <c r="E6">
        <f>5764.442*1.00031719517067</f>
        <v>5766.2704531640074</v>
      </c>
      <c r="F6" s="36">
        <f>106649.9*1.00591789815706</f>
        <v>107281.04324666063</v>
      </c>
      <c r="G6" s="36">
        <f>139493.6*1.00776165979075</f>
        <v>140576.30186618696</v>
      </c>
      <c r="H6" s="36">
        <f>14416.53*1.00079385353839</f>
        <v>14427.974613351806</v>
      </c>
      <c r="I6" s="36">
        <f>9377.984*1.00051618854384</f>
        <v>9382.8248079051154</v>
      </c>
      <c r="J6" s="36">
        <f>6070.692*1.00033405538117</f>
        <v>6072.7199473300252</v>
      </c>
      <c r="K6">
        <f>117853*1.00654567157235</f>
        <v>118624.42703181616</v>
      </c>
      <c r="L6">
        <f>139238.4*1.0077472943221</f>
        <v>140317.12086573828</v>
      </c>
      <c r="M6">
        <f>16376.94*1.00090195062791</f>
        <v>16391.711191316244</v>
      </c>
      <c r="N6">
        <f>9051.942*1.00049822893143</f>
        <v>9056.4519393900246</v>
      </c>
      <c r="O6">
        <f>6064.442*1.00033371128672</f>
        <v>6066.4657727430595</v>
      </c>
      <c r="P6" s="36">
        <f>81176.94*1.00449487145839</f>
        <v>81541.81991068543</v>
      </c>
      <c r="Q6" s="36">
        <f>134304*1.00746965290766</f>
        <v>135307.20426411039</v>
      </c>
      <c r="R6" s="36">
        <f>11661.32*1.00064199034249</f>
        <v>11668.806454820684</v>
      </c>
      <c r="S6" s="36">
        <f>8544.65*1.0004702873146</f>
        <v>8548.6684405026972</v>
      </c>
      <c r="T6" s="36">
        <f>5614.442*1.00030893741945</f>
        <v>5616.1765112231324</v>
      </c>
      <c r="U6">
        <f>81170.69*1.00449452304898</f>
        <v>81535.513537106599</v>
      </c>
      <c r="V6">
        <f>133449.9*1.00742161903792</f>
        <v>134440.31431844851</v>
      </c>
      <c r="W6">
        <f>11845.69*1.0006521503919</f>
        <v>11853.415171375826</v>
      </c>
      <c r="X6">
        <f>8663.4*1.00047682784849</f>
        <v>8667.5309503826065</v>
      </c>
      <c r="Y6">
        <f>5629.025*1.00030974022904</f>
        <v>5630.7685354927717</v>
      </c>
      <c r="Z6" s="36">
        <f>87256.11*1.00483392988235</f>
        <v>87677.899917546631</v>
      </c>
      <c r="AA6" s="36">
        <f>136413.4*1.00758831331214</f>
        <v>137448.54761917426</v>
      </c>
      <c r="AB6" s="36">
        <f>14002.98*1.00077105484833</f>
        <v>14013.777065620066</v>
      </c>
      <c r="AC6" s="36">
        <f>9141.525*1.00050316340164</f>
        <v>9146.1246808151755</v>
      </c>
      <c r="AD6" s="36">
        <f>6018.609*1.00033118795661</f>
        <v>6020.6022908163441</v>
      </c>
      <c r="AE6">
        <f>104124.9*1.00577657048211</f>
        <v>104726.38482379264</v>
      </c>
      <c r="AF6">
        <f>136945.7*1.00761826350735</f>
        <v>137988.98842879853</v>
      </c>
      <c r="AG6">
        <f>15091.53*1.00083106911199</f>
        <v>15104.072104435671</v>
      </c>
      <c r="AH6">
        <f>9170.692*1.00050477001343</f>
        <v>9175.3210903240015</v>
      </c>
      <c r="AI6">
        <f>6106.109*1.00033600527478</f>
        <v>6108.1606848323827</v>
      </c>
      <c r="AJ6" s="36">
        <f>95726.94*1.00530695419572</f>
        <v>96234.958485876443</v>
      </c>
      <c r="AK6" s="36">
        <f>137251.9*1.00763549325636</f>
        <v>138299.8859568726</v>
      </c>
      <c r="AL6" s="36">
        <f>14440.48*1.00079517393102</f>
        <v>14451.962693247415</v>
      </c>
      <c r="AM6" s="36">
        <f>9411.317*1.00051802470462</f>
        <v>9416.1922947090079</v>
      </c>
      <c r="AN6" s="36">
        <f>6158.192*1.00033887274077</f>
        <v>6160.2788434012282</v>
      </c>
      <c r="AO6">
        <f>92319.65*1.0051166053996</f>
        <v>92792.013219679167</v>
      </c>
      <c r="AP6">
        <f>135868.6*1.00755766256829</f>
        <v>136895.44903242597</v>
      </c>
      <c r="AQ6">
        <f>13820.69*1.0007610058372</f>
        <v>13831.207625764133</v>
      </c>
      <c r="AR6">
        <f>9174.859*1.00050499954577</f>
        <v>9179.4922996275036</v>
      </c>
      <c r="AS6">
        <f>5952.984*1.00032757501365</f>
        <v>5954.9340488150583</v>
      </c>
      <c r="AT6" s="36">
        <f>88304.03*1.00489241111733</f>
        <v>88736.049618077042</v>
      </c>
      <c r="AU6" s="36">
        <f>136213.4*1.00757706087783</f>
        <v>137245.49722417622</v>
      </c>
      <c r="AV6" s="36">
        <f>13024.86*1.00071713805461</f>
        <v>13034.200622761969</v>
      </c>
      <c r="AW6" s="36">
        <f>9014.442*1.00049616335324</f>
        <v>9018.9146357703066</v>
      </c>
      <c r="AX6" s="36">
        <f>5970.692*1.00032854991256</f>
        <v>5972.6536703345228</v>
      </c>
      <c r="AY6">
        <f>105087.4*1.00583043587402</f>
        <v>105700.10534686748</v>
      </c>
      <c r="AZ6">
        <f>141605.1*1.00788054191253</f>
        <v>142721.02492557801</v>
      </c>
      <c r="BA6">
        <f>15540.48*1.00085582390321</f>
        <v>15553.779914251356</v>
      </c>
      <c r="BB6">
        <f>9209.234*1.00050689304213</f>
        <v>9213.9020966379467</v>
      </c>
      <c r="BC6">
        <f>6105.067*1.000335947907</f>
        <v>6107.1179844807448</v>
      </c>
      <c r="BD6" s="36">
        <f>92804.03*1.0051436587616</f>
        <v>93281.382262021289</v>
      </c>
      <c r="BE6" s="36">
        <f>142659.2*1.00793990585881</f>
        <v>143791.90061789317</v>
      </c>
      <c r="BF6" s="36">
        <f>13879.03*1.00076422188473</f>
        <v>13889.636658464824</v>
      </c>
      <c r="BG6" s="36">
        <f>9134.234*1.00050276179121</f>
        <v>9138.8263438471713</v>
      </c>
      <c r="BH6" s="36">
        <f>5835.275*1.00032109471704</f>
        <v>5837.148675974975</v>
      </c>
      <c r="BI6">
        <f>94599.86*1.00524397770391</f>
        <v>95095.939556633006</v>
      </c>
      <c r="BJ6">
        <f>141854*1.00789455831203</f>
        <v>142973.8746747947</v>
      </c>
      <c r="BK6">
        <f>13959.23*1.00076864303599</f>
        <v>13969.959664927281</v>
      </c>
      <c r="BL6">
        <f>8943.609*1.00049226175883</f>
        <v>8948.0115966966296</v>
      </c>
      <c r="BM6">
        <f>6038.4*1.00033227754531</f>
        <v>6040.4064247296001</v>
      </c>
      <c r="BN6" s="36">
        <f>104893.6*1.00581958934527</f>
        <v>105504.03767694702</v>
      </c>
      <c r="BO6" s="36">
        <f>144163.4*1.00802463638187</f>
        <v>145320.25886457405</v>
      </c>
      <c r="BP6" s="36">
        <f>15516.53*1.00085450327045</f>
        <v>15529.788925631034</v>
      </c>
      <c r="BQ6" s="36">
        <f>9549.859*1.00052565645085</f>
        <v>9554.8789449880587</v>
      </c>
      <c r="BR6" s="36">
        <f>6245.692*1.00034369016999</f>
        <v>6247.8385829451854</v>
      </c>
    </row>
    <row r="7" spans="1:70" x14ac:dyDescent="0.15">
      <c r="A7">
        <f>97152.98*1.00538665230798</f>
        <v>97676.309323944122</v>
      </c>
      <c r="B7">
        <f>133449.9*1.00742161903792</f>
        <v>134440.31431844851</v>
      </c>
      <c r="C7">
        <f>14063.4*1.00077438565875</f>
        <v>14074.290495273266</v>
      </c>
      <c r="D7">
        <f>9058.192*1.0004985731957</f>
        <v>9062.7081717327019</v>
      </c>
      <c r="E7">
        <f>5725.9*1.00031507334949</f>
        <v>5727.7040784918454</v>
      </c>
      <c r="F7" s="36">
        <f>104683.2*1.00580781415166</f>
        <v>105291.18057040105</v>
      </c>
      <c r="G7" s="36">
        <f>138176.9*1.0076875480098</f>
        <v>139239.14155259533</v>
      </c>
      <c r="H7" s="36">
        <f>14429.03*1.00079454267795</f>
        <v>14440.494480136424</v>
      </c>
      <c r="I7" s="36">
        <f>9122.775*1.00050213059566</f>
        <v>9127.3558244448232</v>
      </c>
      <c r="J7" s="36">
        <f>6082.15*1.00033468620356</f>
        <v>6084.1856116929821</v>
      </c>
      <c r="K7">
        <f>116646.7*1.00647801914182</f>
        <v>117402.33955543012</v>
      </c>
      <c r="L7">
        <f>138271.7*1.00769288337544</f>
        <v>139335.40806222384</v>
      </c>
      <c r="M7">
        <f>16171.73*1.00089063369805</f>
        <v>16186.133087693766</v>
      </c>
      <c r="N7">
        <f>9311.317*1.00051251619754</f>
        <v>9316.0892007829279</v>
      </c>
      <c r="O7">
        <f>5977.984*1.00032895136826</f>
        <v>5979.9504660162374</v>
      </c>
      <c r="P7" s="36">
        <f>78050.9*1.00432065408505</f>
        <v>78388.130939926821</v>
      </c>
      <c r="Q7" s="36">
        <f>133663.4*1.00743362545386</f>
        <v>134657.00365248948</v>
      </c>
      <c r="R7" s="36">
        <f>11626.94*1.00064009580333</f>
        <v>11634.382355499569</v>
      </c>
      <c r="S7" s="36">
        <f>8549.859*1.00047057421415</f>
        <v>8553.8823431800192</v>
      </c>
      <c r="T7" s="36">
        <f>5602.984*1.00030830664576</f>
        <v>5604.7114372032875</v>
      </c>
      <c r="U7">
        <f>83572.78*1.00462845552104</f>
        <v>83959.59289499966</v>
      </c>
      <c r="V7">
        <f>134487.4*1.00747996806844</f>
        <v>135493.36145760753</v>
      </c>
      <c r="W7">
        <f>11718.61*1.00064514738062</f>
        <v>11726.170230546008</v>
      </c>
      <c r="X7">
        <f>8661.317*1.00047671311954</f>
        <v>8665.4459634463947</v>
      </c>
      <c r="Y7">
        <f>5515.484*1.00030348972778</f>
        <v>5517.1578927377359</v>
      </c>
      <c r="Z7" s="36">
        <f>88713.4*1.00491525959265</f>
        <v>89149.449390346592</v>
      </c>
      <c r="AA7" s="36">
        <f>137619.7*1.00765619038346</f>
        <v>138673.34262371465</v>
      </c>
      <c r="AB7" s="36">
        <f>13862.36*1.00076330293209</f>
        <v>13872.941180033687</v>
      </c>
      <c r="AC7" s="36">
        <f>9277.984*1.0005106800671</f>
        <v>9282.7220814916727</v>
      </c>
      <c r="AD7" s="36">
        <f>6195.692*1.00034093734477</f>
        <v>6197.8043427794928</v>
      </c>
      <c r="AE7">
        <f>101519.7*1.00563081643471</f>
        <v>102091.33879520683</v>
      </c>
      <c r="AF7">
        <f>137136.3*1.00762898838746</f>
        <v>138182.51124019924</v>
      </c>
      <c r="AG7">
        <f>14920.69*1.00082164959563</f>
        <v>14932.94957890502</v>
      </c>
      <c r="AH7">
        <f>9087.359*1.00050017978538</f>
        <v>9091.9043132742918</v>
      </c>
      <c r="AI7">
        <f>6029.025*1.00033176140651</f>
        <v>6031.0251978138831</v>
      </c>
      <c r="AJ7" s="36">
        <f>94382.15*1.00523181435049</f>
        <v>94875.939886800086</v>
      </c>
      <c r="AK7" s="36">
        <f>137432.2*1.00764563907819</f>
        <v>138482.95699892164</v>
      </c>
      <c r="AL7" s="36">
        <f>13076.94*1.00072000863463</f>
        <v>13086.355509714538</v>
      </c>
      <c r="AM7" s="36">
        <f>9219.65*1.00050746679431</f>
        <v>9224.3286662301598</v>
      </c>
      <c r="AN7" s="36">
        <f>5993.609*1.00032981159277</f>
        <v>5995.5857617307302</v>
      </c>
      <c r="AO7">
        <f>92307.15*1.00511590728449</f>
        <v>92779.384821095504</v>
      </c>
      <c r="AP7">
        <f>136430.1*1.0075892529075</f>
        <v>137465.50253309551</v>
      </c>
      <c r="AQ7">
        <f>13889.44*1.00076479574906</f>
        <v>13900.062584668824</v>
      </c>
      <c r="AR7">
        <f>8981.109*1.00049432731285</f>
        <v>8985.5486074783821</v>
      </c>
      <c r="AS7">
        <f>6026.942*1.00033164672747</f>
        <v>6028.9408155909523</v>
      </c>
      <c r="AT7" s="36">
        <f>89204.03*1.00494264554996</f>
        <v>89644.93390191799</v>
      </c>
      <c r="AU7" s="36">
        <f>136697.8*1.00760431492446</f>
        <v>137737.29312068084</v>
      </c>
      <c r="AV7" s="36">
        <f>13551.94*1.00074619114045</f>
        <v>13562.052337563911</v>
      </c>
      <c r="AW7" s="36">
        <f>9252.984*1.00050930296214</f>
        <v>9257.6965721598335</v>
      </c>
      <c r="AX7" s="36">
        <f>6062.359*1.000333596607</f>
        <v>6064.3813823928158</v>
      </c>
      <c r="AY7">
        <f>108271.7*1.00600870398866</f>
        <v>108922.272595649</v>
      </c>
      <c r="AZ7">
        <f>142412.4*1.00792600583446</f>
        <v>143541.16151329942</v>
      </c>
      <c r="BA7">
        <f>15622.78*1.00086036206735</f>
        <v>15636.221247298554</v>
      </c>
      <c r="BB7">
        <f>9481.109*1.00052186925579</f>
        <v>9486.0568992978951</v>
      </c>
      <c r="BC7">
        <f>6058.192*1.00033336719262</f>
        <v>6060.2116024593934</v>
      </c>
      <c r="BD7" s="36">
        <f>93146.73*1.00516280040111</f>
        <v>93627.627975006078</v>
      </c>
      <c r="BE7" s="36">
        <f>142481.1*1.0079298750297</f>
        <v>143610.9573170942</v>
      </c>
      <c r="BF7" s="36">
        <f>13459.23*1.00074108070507</f>
        <v>13469.204375658099</v>
      </c>
      <c r="BG7" s="36">
        <f>8820.692*1.00048549140312</f>
        <v>8824.9743701355692</v>
      </c>
      <c r="BH7" s="36">
        <f>5865.484*1.00032275781728</f>
        <v>5867.3771308131309</v>
      </c>
      <c r="BI7">
        <f>94105.07*1.00521633466319</f>
        <v>94595.953538622925</v>
      </c>
      <c r="BJ7">
        <f>141763.4*1.00788945625224</f>
        <v>142881.83614246879</v>
      </c>
      <c r="BK7">
        <f>14155.07*1.00077943927063</f>
        <v>14166.103017436515</v>
      </c>
      <c r="BL7">
        <f>9171.734*1.00050482741027</f>
        <v>9176.3641427229049</v>
      </c>
      <c r="BM7">
        <f>6106.109*1.00033600527478</f>
        <v>6108.1606848323827</v>
      </c>
      <c r="BN7" s="36">
        <f>110304*1.00612252882007</f>
        <v>110979.33941896899</v>
      </c>
      <c r="BO7" s="36">
        <f>146059.2*1.00813145597323</f>
        <v>147246.8739542852</v>
      </c>
      <c r="BP7" s="36">
        <f>14783.19*1.00081406852275</f>
        <v>14795.224529644833</v>
      </c>
      <c r="BQ7" s="36">
        <f>9534.234*1.00052479572093</f>
        <v>9539.2375252055463</v>
      </c>
      <c r="BR7" s="36">
        <f>6175.9*1.00033984767272</f>
        <v>6177.9988652419515</v>
      </c>
    </row>
    <row r="8" spans="1:70" x14ac:dyDescent="0.15">
      <c r="A8">
        <f>98337.36*1.00545285903085</f>
        <v>98873.579761545945</v>
      </c>
      <c r="B8">
        <f>131975.9*1.00733873870447</f>
        <v>132944.43664538726</v>
      </c>
      <c r="C8">
        <f>13647.78*1.00075147419253</f>
        <v>13658.035954455328</v>
      </c>
      <c r="D8">
        <f>9129.025*1.00050247486397</f>
        <v>9133.6121055950534</v>
      </c>
      <c r="E8">
        <f>5672.775*1.00031214872449</f>
        <v>5674.5457494805678</v>
      </c>
      <c r="F8" s="36">
        <f>109230.1*1.00606237712613</f>
        <v>109892.29405972488</v>
      </c>
      <c r="G8" s="36">
        <f>139651.9*1.00777057096889</f>
        <v>140737.07499989032</v>
      </c>
      <c r="H8" s="36">
        <f>14787.36*1.00081429843348</f>
        <v>14799.401324083306</v>
      </c>
      <c r="I8" s="36">
        <f>9392.567*1.00051699185261</f>
        <v>9397.4228806140927</v>
      </c>
      <c r="J8" s="36">
        <f>5884.234*1.00032379006779</f>
        <v>5886.139256525752</v>
      </c>
      <c r="K8">
        <f>118417.6*1.00657734050033</f>
        <v>119196.47287643189</v>
      </c>
      <c r="L8">
        <f>138610.3*1.00771194055427</f>
        <v>139679.25439380953</v>
      </c>
      <c r="M8">
        <f>15638.4*1.0008612233881</f>
        <v>15651.868155832462</v>
      </c>
      <c r="N8">
        <f>9123.817*1.00050218799205</f>
        <v>9128.3988713390609</v>
      </c>
      <c r="O8">
        <f>6064.442*1.00033371128672</f>
        <v>6066.4657727430595</v>
      </c>
      <c r="P8" s="36">
        <f>79168.61*1.00438293476848</f>
        <v>79515.600853341239</v>
      </c>
      <c r="Q8" s="36">
        <f>133479*1.00742325548428</f>
        <v>134469.8487187862</v>
      </c>
      <c r="R8" s="36">
        <f>12225.9*1.0006731035437</f>
        <v>12234.129296614921</v>
      </c>
      <c r="S8" s="36">
        <f>8846.734*1.00048692580351</f>
        <v>8851.0417030613899</v>
      </c>
      <c r="T8" s="36">
        <f>5511.317*1.00030326033412</f>
        <v>5512.988363834861</v>
      </c>
      <c r="U8">
        <f>83855.07*1.00464419858669</f>
        <v>84244.509597580807</v>
      </c>
      <c r="V8">
        <f>135326.9*1.00752718901169</f>
        <v>136345.53115466607</v>
      </c>
      <c r="W8">
        <f>11814.44*1.00065042828114</f>
        <v>11822.124445901831</v>
      </c>
      <c r="X8">
        <f>8844.65*1.000486811016</f>
        <v>8848.9556730526638</v>
      </c>
      <c r="Y8">
        <f>5671.734*1.00031209141586</f>
        <v>5673.504099494442</v>
      </c>
      <c r="Z8" s="36">
        <f>88226.94*1.0048881086099</f>
        <v>88658.202865039129</v>
      </c>
      <c r="AA8" s="36">
        <f>136756.1*1.00760759523684</f>
        <v>137796.48505496883</v>
      </c>
      <c r="AB8" s="36">
        <f>13776.94*1.00075859409754</f>
        <v>13787.391105366165</v>
      </c>
      <c r="AC8" s="36">
        <f>9375.9*1.00051607374626</f>
        <v>9380.7386558375583</v>
      </c>
      <c r="AD8" s="36">
        <f>5999.859*1.0003301556832</f>
        <v>6001.8398875472494</v>
      </c>
      <c r="AE8">
        <f>105038.4*1.00582769342643</f>
        <v>105650.53159320273</v>
      </c>
      <c r="AF8">
        <f>137630.1*1.00765677563892</f>
        <v>138683.90279686215</v>
      </c>
      <c r="AG8">
        <f>15186.32*1.00083629561375</f>
        <v>15199.020252805003</v>
      </c>
      <c r="AH8">
        <f>9287.359*1.00051119648293</f>
        <v>9292.1066652565096</v>
      </c>
      <c r="AI8">
        <f>5985.275*1.00032935276939</f>
        <v>5987.2462668968101</v>
      </c>
      <c r="AJ8" s="36">
        <f>94869.65*1.00525905135561</f>
        <v>95368.574361438732</v>
      </c>
      <c r="AK8" s="36">
        <f>135929*1.0075610605669</f>
        <v>136956.76740179816</v>
      </c>
      <c r="AL8" s="36">
        <f>13116.53*1.00072219079907</f>
        <v>13126.002637281726</v>
      </c>
      <c r="AM8" s="36">
        <f>9351.942*1.00051475401757</f>
        <v>9356.7559497165821</v>
      </c>
      <c r="AN8" s="36">
        <f>6124.859*1.00033703756631</f>
        <v>6126.9233075713528</v>
      </c>
      <c r="AO8">
        <f>90324.86*1.00500521638872</f>
        <v>90776.955469580833</v>
      </c>
      <c r="AP8">
        <f>135080.1*1.00751330609497</f>
        <v>136094.99813863914</v>
      </c>
      <c r="AQ8">
        <f>13985.28*1.00077007909587</f>
        <v>13996.049771777889</v>
      </c>
      <c r="AR8">
        <f>9176.942*1.00050511428446</f>
        <v>9181.5774044918617</v>
      </c>
      <c r="AS8">
        <f>5989.442*1.000329582181</f>
        <v>5991.4160133573332</v>
      </c>
      <c r="AT8" s="36">
        <f>89089.44*1.00493624917118</f>
        <v>89529.207674360892</v>
      </c>
      <c r="AU8" s="36">
        <f>136811.3*1.00761070115396</f>
        <v>137852.52991878474</v>
      </c>
      <c r="AV8" s="36">
        <f>13787.36*1.00075916850343</f>
        <v>13797.826929457451</v>
      </c>
      <c r="AW8" s="36">
        <f>9257.15*1.00050953244251</f>
        <v>9261.8668182501806</v>
      </c>
      <c r="AX8" s="36">
        <f>5985.275*1.00032935276939</f>
        <v>5987.2462668968101</v>
      </c>
      <c r="AY8">
        <f>107670.7*1.00597505066236</f>
        <v>108314.03788735175</v>
      </c>
      <c r="AZ8">
        <f>142357.2*1.0079228969938</f>
        <v>143485.08143192582</v>
      </c>
      <c r="BA8">
        <f>14708.19*1.00080993346472</f>
        <v>14720.102655286461</v>
      </c>
      <c r="BB8">
        <f>9271.734*1.00051033579033</f>
        <v>9276.4656976986207</v>
      </c>
      <c r="BC8">
        <f>6118.609*1.00033669346878</f>
        <v>6120.6690956883194</v>
      </c>
      <c r="BD8" s="36">
        <f>93819.65*1.00520038979227</f>
        <v>94307.548750174348</v>
      </c>
      <c r="BE8" s="36">
        <f>144085.3*1.00802023653685</f>
        <v>145240.89818748299</v>
      </c>
      <c r="BF8" s="36">
        <f>13606.11*1.00074917717912</f>
        <v>13616.303387108595</v>
      </c>
      <c r="BG8" s="36">
        <f>9024.859*1.00049673714204</f>
        <v>9029.3419826669742</v>
      </c>
      <c r="BH8" s="36">
        <f>5924.859*1.00032602662152</f>
        <v>5926.7906617627523</v>
      </c>
      <c r="BI8">
        <f>93546.73*1.00518514393948</f>
        <v>94031.783260117678</v>
      </c>
      <c r="BJ8">
        <f>142316.5*1.00792060480547</f>
        <v>143443.7327537977</v>
      </c>
      <c r="BK8">
        <f>14133.19*1.00077823305632</f>
        <v>14144.188915649251</v>
      </c>
      <c r="BL8">
        <f>9304.025*1.00051211452077</f>
        <v>9308.7897263041068</v>
      </c>
      <c r="BM8">
        <f>5995.692*1.00032992627119</f>
        <v>5997.6701363047641</v>
      </c>
      <c r="BN8" s="36">
        <f>107525.9*1.00596694301234</f>
        <v>108167.50091765056</v>
      </c>
      <c r="BO8" s="36">
        <f>143948.8*1.00801254680554</f>
        <v>145102.19649760131</v>
      </c>
      <c r="BP8" s="36">
        <f>15214.44*1.00083784610138</f>
        <v>15227.187359238682</v>
      </c>
      <c r="BQ8" s="36">
        <f>9393.609*1.00051704925155</f>
        <v>9398.4659585028039</v>
      </c>
      <c r="BR8" s="36">
        <f>6210.275*1.00034174023142</f>
        <v>6212.3973008156818</v>
      </c>
    </row>
    <row r="9" spans="1:70" x14ac:dyDescent="0.15">
      <c r="A9">
        <f>98064.44*1.00543760166862</f>
        <v>98597.675362576279</v>
      </c>
      <c r="B9">
        <f>132785.3*1.00738424725313</f>
        <v>133765.81948678102</v>
      </c>
      <c r="C9">
        <f>14324.86*1.0007887997081</f>
        <v>14336.159445386573</v>
      </c>
      <c r="D9">
        <f>9031.109*1.00049708140477</f>
        <v>9035.5981963483518</v>
      </c>
      <c r="E9">
        <f>5822.775*1.00032040655525</f>
        <v>5824.6406552797453</v>
      </c>
      <c r="F9" s="36">
        <f>104982.2*1.00582454803461</f>
        <v>105593.67386667903</v>
      </c>
      <c r="G9" s="36">
        <f>138240.5*1.00769112742294</f>
        <v>139303.72530051094</v>
      </c>
      <c r="H9" s="36">
        <f>14277.98*1.00078621521098</f>
        <v>14289.20556505807</v>
      </c>
      <c r="I9" s="36">
        <f>9256.109*1.00050947509995</f>
        <v>9260.8247570579224</v>
      </c>
      <c r="J9" s="36">
        <f>5833.192*1.00032098004166</f>
        <v>5835.0643382111703</v>
      </c>
      <c r="K9">
        <f>116811.3*1.00648724953114</f>
        <v>117569.08405115687</v>
      </c>
      <c r="L9">
        <f>137437.4*1.00764593169658</f>
        <v>138488.23697295555</v>
      </c>
      <c r="M9">
        <f>16099.86*1.00088667029901</f>
        <v>16114.13526768022</v>
      </c>
      <c r="N9">
        <f>9105.067*1.00050115518909</f>
        <v>9109.6300515740622</v>
      </c>
      <c r="O9">
        <f>6179.025*1.00034001972306</f>
        <v>6181.1259903692808</v>
      </c>
      <c r="P9" s="36">
        <f>77562.36*1.00429343545706</f>
        <v>77895.368986557252</v>
      </c>
      <c r="Q9" s="36">
        <f>133379*1.00741763199074</f>
        <v>134368.35633729291</v>
      </c>
      <c r="R9" s="36">
        <f>11473.82*1.00063165812611</f>
        <v>11481.067531640525</v>
      </c>
      <c r="S9" s="36">
        <f>8736.317*1.00048084404773</f>
        <v>8740.5178060285307</v>
      </c>
      <c r="T9" s="36">
        <f>5527.984*1.00030417785466</f>
        <v>5529.6654903137151</v>
      </c>
      <c r="U9">
        <f>82882.15*1.00458994281642</f>
        <v>83262.574329001945</v>
      </c>
      <c r="V9">
        <f>133937.4*1.0074490347867</f>
        <v>134935.10435184016</v>
      </c>
      <c r="W9">
        <f>12416.53*1.00068360954757</f>
        <v>12425.018058455689</v>
      </c>
      <c r="X9">
        <f>8813.4*1.0004850897589</f>
        <v>8817.675290081088</v>
      </c>
      <c r="Y9">
        <f>5631.109*1.00030985495561</f>
        <v>5632.8538270292302</v>
      </c>
      <c r="Z9" s="36">
        <f>88225.9*1.00488805056633</f>
        <v>88657.152660459964</v>
      </c>
      <c r="AA9" s="36">
        <f>137758.2*1.0076639844943</f>
        <v>138813.9767087627</v>
      </c>
      <c r="AB9" s="36">
        <f>13999.86*1.00077088285108</f>
        <v>14010.652251991522</v>
      </c>
      <c r="AC9" s="36">
        <f>9267.567*1.00051010625431</f>
        <v>9272.2944438889372</v>
      </c>
      <c r="AD9" s="36">
        <f>6154.025*1.00033864332277</f>
        <v>6156.1090194744083</v>
      </c>
      <c r="AE9">
        <f>105084.2*1.00583025677472</f>
        <v>105696.86786896602</v>
      </c>
      <c r="AF9">
        <f>137339.4*1.0076404170084</f>
        <v>138388.73028768343</v>
      </c>
      <c r="AG9">
        <f>14579.03*1.00080281246363</f>
        <v>14590.734226991635</v>
      </c>
      <c r="AH9">
        <f>9119.65*1.00050195846164</f>
        <v>9124.2276854846932</v>
      </c>
      <c r="AI9">
        <f>6055.067*1.0003331951457</f>
        <v>6057.0845189312877</v>
      </c>
      <c r="AJ9" s="36">
        <f>95133.19*1.00527377646439</f>
        <v>95634.90117840434</v>
      </c>
      <c r="AK9" s="36">
        <f>135910.3*1.00756000853385</f>
        <v>136937.7830278381</v>
      </c>
      <c r="AL9" s="36">
        <f>14175.9*1.00078058760393</f>
        <v>14186.965531814551</v>
      </c>
      <c r="AM9" s="36">
        <f>9246.734*1.00050895868678</f>
        <v>9251.4402055936444</v>
      </c>
      <c r="AN9" s="36">
        <f>6036.317*1.00033216286608</f>
        <v>6038.3220403552868</v>
      </c>
      <c r="AO9">
        <f>91341.53*1.00506198257453</f>
        <v>91803.899233190896</v>
      </c>
      <c r="AP9">
        <f>136691.5*1.00760396045009</f>
        <v>137730.89675986348</v>
      </c>
      <c r="AQ9">
        <f>13136.32*1.00072328161104</f>
        <v>13145.821258692738</v>
      </c>
      <c r="AR9">
        <f>9087.359*1.00050017978538</f>
        <v>9091.9043132742918</v>
      </c>
      <c r="AS9">
        <f>6000.9*1.00033021299493</f>
        <v>6002.8815751612756</v>
      </c>
      <c r="AT9" s="36">
        <f>90851.94*1.00503464491376</f>
        <v>91309.347257626228</v>
      </c>
      <c r="AU9" s="36">
        <f>136260.3*1.00757969953976</f>
        <v>137293.11213319754</v>
      </c>
      <c r="AV9" s="36">
        <f>14443.61*1.00079534649212</f>
        <v>14455.097674547049</v>
      </c>
      <c r="AW9" s="36">
        <f>9190.484*1.0005058602246</f>
        <v>9195.1331003004234</v>
      </c>
      <c r="AX9" s="36">
        <f>5754.025*1.00031662169076</f>
        <v>5755.8468491241747</v>
      </c>
      <c r="AY9">
        <f>108872.8*1.00604236629935</f>
        <v>109530.64933763588</v>
      </c>
      <c r="AZ9">
        <f>143332.2*1.0079778128255</f>
        <v>144475.67746346715</v>
      </c>
      <c r="BA9">
        <f>15732.15*1.00086639301359</f>
        <v>15745.780224848748</v>
      </c>
      <c r="BB9">
        <f>9287.359*1.00051119648293</f>
        <v>9292.1066652565096</v>
      </c>
      <c r="BC9">
        <f>6069.65*1.00033399801371</f>
        <v>6071.677251043915</v>
      </c>
      <c r="BD9" s="36">
        <f>91925.9*1.00509461547347</f>
        <v>92394.227112552646</v>
      </c>
      <c r="BE9" s="36">
        <f>142464.4*1.00792893447886</f>
        <v>143593.99089317009</v>
      </c>
      <c r="BF9" s="36">
        <f>13650.9*1.00075164617977</f>
        <v>13661.160646835424</v>
      </c>
      <c r="BG9" s="36">
        <f>9110.275*1.00050144206012</f>
        <v>9114.8432750642587</v>
      </c>
      <c r="BH9" s="36">
        <f>5943.609*1.00032705888214</f>
        <v>5945.5529101154179</v>
      </c>
      <c r="BI9">
        <f>98162.36*1.00544307572353</f>
        <v>98696.665158680407</v>
      </c>
      <c r="BJ9">
        <f>143235.3*1.007972354634</f>
        <v>144377.22260770737</v>
      </c>
      <c r="BK9">
        <f>13555.07*1.0007463636762</f>
        <v>13565.187011876347</v>
      </c>
      <c r="BL9">
        <f>9138.4*1.00050299126709</f>
        <v>9142.9965353951739</v>
      </c>
      <c r="BM9">
        <f>6072.775*1.00033417006104</f>
        <v>6074.8043395924315</v>
      </c>
      <c r="BN9" s="36">
        <f>107517.6*1.00596647828421</f>
        <v>108159.10142557038</v>
      </c>
      <c r="BO9" s="36">
        <f>144359.2*1.00803566723316</f>
        <v>145519.22249324521</v>
      </c>
      <c r="BP9" s="36">
        <f>14899.86*1.00082050112093</f>
        <v>14912.0853518317</v>
      </c>
      <c r="BQ9" s="36">
        <f>9479.025*1.00052175445625</f>
        <v>9483.9707235346541</v>
      </c>
      <c r="BR9" s="36">
        <f>6245.692*1.00034369016999</f>
        <v>6247.8385829451854</v>
      </c>
    </row>
    <row r="10" spans="1:70" x14ac:dyDescent="0.15">
      <c r="A10">
        <f>98815.48*1.00547958960309</f>
        <v>99356.948276832336</v>
      </c>
      <c r="B10">
        <f>133045.7*1.00739888956831</f>
        <v>134030.09044183849</v>
      </c>
      <c r="C10">
        <f>13645.69*1.00075135898318</f>
        <v>13655.942811763191</v>
      </c>
      <c r="D10">
        <f>9119.65*1.00050195846164</f>
        <v>9124.2276854846932</v>
      </c>
      <c r="E10">
        <f>5933.192*1.00032648538527</f>
        <v>5935.1291004760014</v>
      </c>
      <c r="F10" s="36">
        <f>105733.2*1.00586658231399</f>
        <v>106353.49252112157</v>
      </c>
      <c r="G10" s="36">
        <f>139733.2*1.00777514767995</f>
        <v>140819.64626579199</v>
      </c>
      <c r="H10" s="36">
        <f>14929.03*1.0008221094277</f>
        <v>14941.303296309416</v>
      </c>
      <c r="I10" s="36">
        <f>9296.734*1.00051171289956</f>
        <v>9301.4912587115778</v>
      </c>
      <c r="J10" s="36">
        <f>6077.984*1.00033445684349</f>
        <v>6080.0168233434233</v>
      </c>
      <c r="K10">
        <f>116858.2*1.00648987962183</f>
        <v>117616.59565082373</v>
      </c>
      <c r="L10">
        <f>138398.8*1.00770003672573</f>
        <v>139464.47584279696</v>
      </c>
      <c r="M10">
        <f>15830.07*1.00087179266958</f>
        <v>15843.870538984938</v>
      </c>
      <c r="N10">
        <f>9081.109*1.00049983551945</f>
        <v>9085.648060834199</v>
      </c>
      <c r="O10">
        <f>6039.442*1.00033233491246</f>
        <v>6041.4491174283776</v>
      </c>
      <c r="P10" s="36">
        <f>78246.73*1.00433156522414</f>
        <v>78585.66081457067</v>
      </c>
      <c r="Q10" s="36">
        <f>133546.7*1.00742706264298</f>
        <v>134538.55970666328</v>
      </c>
      <c r="R10" s="36">
        <f>10935.28*1.00060198357654</f>
        <v>10941.862858964867</v>
      </c>
      <c r="S10" s="36">
        <f>8663.4*1.00047682784849</f>
        <v>8667.5309503826065</v>
      </c>
      <c r="T10" s="36">
        <f>5710.275*1.000314213163</f>
        <v>5712.06924356935</v>
      </c>
      <c r="U10">
        <f>82829.03*1.00458698078465</f>
        <v>83208.96516902119</v>
      </c>
      <c r="V10">
        <f>133743.6*1.00743813570347</f>
        <v>134738.40304627063</v>
      </c>
      <c r="W10">
        <f>12194.65*1.00067138132473</f>
        <v>12202.837260271619</v>
      </c>
      <c r="X10">
        <f>8894.65*1.00048956504585</f>
        <v>8899.0045097350703</v>
      </c>
      <c r="Y10">
        <f>5584.234*1.0003072744432</f>
        <v>5585.9498923930487</v>
      </c>
      <c r="Z10" s="36">
        <f>88026.94*1.00487694657082</f>
        <v>88456.242683172779</v>
      </c>
      <c r="AA10" s="36">
        <f>137131.1*1.00762869578386</f>
        <v>138177.23144440609</v>
      </c>
      <c r="AB10" s="36">
        <f>14148.82*1.00077909471628</f>
        <v>14159.843270903597</v>
      </c>
      <c r="AC10" s="36">
        <f>9236.317*1.00050838487696</f>
        <v>9241.0126038816088</v>
      </c>
      <c r="AD10" s="36">
        <f>6183.192*1.00034024914202</f>
        <v>6185.2958257729442</v>
      </c>
      <c r="AE10">
        <f>105068.6*1.00582938366698</f>
        <v>105681.08518075246</v>
      </c>
      <c r="AF10">
        <f>137036.3*1.00762336144009</f>
        <v>138080.97724531259</v>
      </c>
      <c r="AG10">
        <f>14970.69*1.00082440639213</f>
        <v>14983.031932530599</v>
      </c>
      <c r="AH10">
        <f>9243.609*1.00050878654924</f>
        <v>9248.3120239256332</v>
      </c>
      <c r="AI10">
        <f>6131.109*1.00033738166419</f>
        <v>6133.1775237577513</v>
      </c>
      <c r="AJ10" s="36">
        <f>94765.48*1.00525323111018</f>
        <v>95263.304967707139</v>
      </c>
      <c r="AK10" s="36">
        <f>136951.9*1.00761861237003</f>
        <v>137995.28343943908</v>
      </c>
      <c r="AL10" s="36">
        <f>13692.57*1.0007539432102</f>
        <v>13702.893420181686</v>
      </c>
      <c r="AM10" s="36">
        <f>9424.859*1.00051877067364</f>
        <v>9429.7483404523919</v>
      </c>
      <c r="AN10" s="36">
        <f>6173.817*1.00033973299088</f>
        <v>6175.9144493145559</v>
      </c>
      <c r="AO10">
        <f>92123.82*1.0051056686164</f>
        <v>92594.173696596888</v>
      </c>
      <c r="AP10">
        <f>136167.6*1.00757448412354</f>
        <v>137198.99932434055</v>
      </c>
      <c r="AQ10">
        <f>13912.36*1.00076605924633</f>
        <v>13923.017692016274</v>
      </c>
      <c r="AR10">
        <f>9284.234*1.00051102434423</f>
        <v>9288.9784695915278</v>
      </c>
      <c r="AS10">
        <f>5971.734*1.00032860727907</f>
        <v>5973.6963552610705</v>
      </c>
      <c r="AT10" s="36">
        <f>88967.57*1.00492944655925</f>
        <v>89406.130881821344</v>
      </c>
      <c r="AU10" s="36">
        <f>136462.4*1.00759107021618</f>
        <v>137498.29566026846</v>
      </c>
      <c r="AV10" s="36">
        <f>13507.15*1.00074372218018</f>
        <v>13517.195567046019</v>
      </c>
      <c r="AW10" s="36">
        <f>9060.275*1.00049868793218</f>
        <v>9064.7932498047321</v>
      </c>
      <c r="AX10" s="36">
        <f>5851.942*1.00032201228667</f>
        <v>5853.8263972248806</v>
      </c>
      <c r="AY10">
        <f>109568.6*1.00608133614988</f>
        <v>110234.92348807174</v>
      </c>
      <c r="AZ10">
        <f>143091.5*1.0079642548191</f>
        <v>144231.11716844724</v>
      </c>
      <c r="BA10">
        <f>15557.15*1.00085674311082</f>
        <v>15570.478481086493</v>
      </c>
      <c r="BB10">
        <f>9536.317*1.00052491046643</f>
        <v>9541.3227126044931</v>
      </c>
      <c r="BC10">
        <f>6212.359*1.000341854969</f>
        <v>6214.4827257933621</v>
      </c>
      <c r="BD10" s="36">
        <f>93006.11*1.00515494588474</f>
        <v>93485.551464000178</v>
      </c>
      <c r="BE10" s="36">
        <f>142719.7*1.00794331336767</f>
        <v>143853.36730083986</v>
      </c>
      <c r="BF10" s="36">
        <f>13712.36*1.00075503412603</f>
        <v>13722.71329974841</v>
      </c>
      <c r="BG10" s="36">
        <f>8974.859*1.00049398305296</f>
        <v>8979.2924282487056</v>
      </c>
      <c r="BH10" s="36">
        <f>5817.567*1.00032011983994</f>
        <v>5819.4293186168807</v>
      </c>
      <c r="BI10">
        <f>94423.82*1.00523414239921</f>
        <v>94918.047719757378</v>
      </c>
      <c r="BJ10">
        <f>143006.1*1.00795944459052</f>
        <v>144144.34912905635</v>
      </c>
      <c r="BK10">
        <f>14494.65*1.00079816040829</f>
        <v>14506.219055762022</v>
      </c>
      <c r="BL10">
        <f>9361.317*1.0005152704397</f>
        <v>9366.1406099267606</v>
      </c>
      <c r="BM10">
        <f>5942.567*1.00032700151589</f>
        <v>5944.5102284172781</v>
      </c>
      <c r="BN10" s="36">
        <f>108126.9*1.00600059552342</f>
        <v>108775.72579210126</v>
      </c>
      <c r="BO10" s="36">
        <f>144954*1.00806917890985</f>
        <v>146123.65975969838</v>
      </c>
      <c r="BP10" s="36">
        <f>15131.11*1.00083325145185</f>
        <v>15143.718019375605</v>
      </c>
      <c r="BQ10" s="36">
        <f>9515.484*1.00052376284794</f>
        <v>9520.4678569993685</v>
      </c>
      <c r="BR10" s="36">
        <f>6354.025*1.00034965468424</f>
        <v>6356.2467146050285</v>
      </c>
    </row>
    <row r="11" spans="1:70" x14ac:dyDescent="0.15">
      <c r="A11">
        <f>98618.61*1.00546858280267</f>
        <v>99157.914034669215</v>
      </c>
      <c r="B11">
        <f>134333.2*1.00747129521299</f>
        <v>135336.84299410565</v>
      </c>
      <c r="C11">
        <f>13511.32*1.00074395204242</f>
        <v>13521.37177410979</v>
      </c>
      <c r="D11">
        <f>8939.442*1.00049203223526</f>
        <v>8943.8404936292354</v>
      </c>
      <c r="E11">
        <f>5805.067*1.00031943168015</f>
        <v>5806.9213223051938</v>
      </c>
      <c r="F11" s="36">
        <f>103833.2*1.0057602474824</f>
        <v>104431.30492888953</v>
      </c>
      <c r="G11" s="36">
        <f>138694.7*1.00771669094715</f>
        <v>139764.96413590771</v>
      </c>
      <c r="H11" s="36">
        <f>15057.15*1.0008291734984</f>
        <v>15069.634989741435</v>
      </c>
      <c r="I11" s="36">
        <f>9381.109*1.00051636068521</f>
        <v>9385.9530358712709</v>
      </c>
      <c r="J11" s="36">
        <f>5959.234*1.00032791910177</f>
        <v>5961.1881466605173</v>
      </c>
      <c r="K11">
        <f>117558.2*1.00652913716217</f>
        <v>118325.75361233782</v>
      </c>
      <c r="L11">
        <f>139048.8*1.00773662194314</f>
        <v>140124.56799724727</v>
      </c>
      <c r="M11">
        <f>16095.69*1.00088644033838</f>
        <v>16109.957868890058</v>
      </c>
      <c r="N11">
        <f>9079.025*1.00049972072749</f>
        <v>9083.5619769778987</v>
      </c>
      <c r="O11">
        <f>6085.275*1.00033485825125</f>
        <v>6087.3127045448746</v>
      </c>
      <c r="P11" s="36">
        <f>79370.69*1.00439419624494</f>
        <v>79719.460387956307</v>
      </c>
      <c r="Q11" s="36">
        <f>133763.4*1.00743924921584</f>
        <v>134758.49926855808</v>
      </c>
      <c r="R11" s="36">
        <f>11100.9*1.00061110926354</f>
        <v>11107.683862823629</v>
      </c>
      <c r="S11" s="36">
        <f>8823.817*1.00048566352864</f>
        <v>8828.1024061002936</v>
      </c>
      <c r="T11" s="36">
        <f>5701.942*1.00031375441614</f>
        <v>5703.7310094830746</v>
      </c>
      <c r="U11">
        <f>82845.69*1.00458790976242</f>
        <v>83225.778549925424</v>
      </c>
      <c r="V11">
        <f>135057.2*1.00751201796046</f>
        <v>136071.75211208945</v>
      </c>
      <c r="W11">
        <f>11841.53*1.00065192114401</f>
        <v>11849.249743784429</v>
      </c>
      <c r="X11">
        <f>8749.859*1.00048158993358</f>
        <v>8754.0728440146449</v>
      </c>
      <c r="Y11">
        <f>5712.359*1.00031432789111</f>
        <v>5714.1545537577331</v>
      </c>
      <c r="Z11" s="36">
        <f>87301.94*1.00483648730174</f>
        <v>87724.174724227269</v>
      </c>
      <c r="AA11" s="36">
        <f>137088.4*1.00762629306787</f>
        <v>138133.87631460541</v>
      </c>
      <c r="AB11" s="36">
        <f>13086.32*1.00072052565032</f>
        <v>13095.749029228295</v>
      </c>
      <c r="AC11" s="36">
        <f>9315.484*1.00051274573522</f>
        <v>9320.2604746925117</v>
      </c>
      <c r="AD11" s="36">
        <f>6080.067*1.00033457152351</f>
        <v>6082.1012172792325</v>
      </c>
      <c r="AE11">
        <f>101411.3*1.00562475311703</f>
        <v>101981.71352577706</v>
      </c>
      <c r="AF11">
        <f>135983.2*1.00756410979367</f>
        <v>137011.7918548946</v>
      </c>
      <c r="AG11">
        <f>15680.07*1.00086352117334</f>
        <v>15693.610072444455</v>
      </c>
      <c r="AH11">
        <f>9346.734*1.00051446713509</f>
        <v>9351.5425874634293</v>
      </c>
      <c r="AI11">
        <f>6218.609*1.00034219907186</f>
        <v>6220.7370022280602</v>
      </c>
      <c r="AJ11" s="36">
        <f>97913.4*1.00542915820397</f>
        <v>98444.98733888859</v>
      </c>
      <c r="AK11" s="36">
        <f>137134.2*1.00762887022059</f>
        <v>138180.37901460443</v>
      </c>
      <c r="AL11" s="36">
        <f>13876.94*1.00076410667097</f>
        <v>13887.543462426651</v>
      </c>
      <c r="AM11" s="36">
        <f>9322.775*1.00051314735767</f>
        <v>9327.5589573574016</v>
      </c>
      <c r="AN11" s="36">
        <f>6027.984*1.00033170409451</f>
        <v>6029.9835069744422</v>
      </c>
      <c r="AO11">
        <f>92584.23*1.0051313823251</f>
        <v>93059.315081404988</v>
      </c>
      <c r="AP11">
        <f>135754*1.00755121546695</f>
        <v>136779.10770450032</v>
      </c>
      <c r="AQ11">
        <f>13517.57*1.00074429656046</f>
        <v>13527.631080856778</v>
      </c>
      <c r="AR11">
        <f>9089.442*1.00050029452241</f>
        <v>9093.989398044363</v>
      </c>
      <c r="AS11">
        <f>5955.067*1.0003276896913</f>
        <v>5957.0184140669007</v>
      </c>
      <c r="AT11" s="36">
        <f>87749.86*1.00486148329741</f>
        <v>88176.454478740081</v>
      </c>
      <c r="AU11" s="36">
        <f>136203*1.00757647576158</f>
        <v>137234.93872815446</v>
      </c>
      <c r="AV11" s="36">
        <f>13054.03*1.00071874586299</f>
        <v>13063.412530057849</v>
      </c>
      <c r="AW11" s="36">
        <f>9096.734*1.00050069618495</f>
        <v>9101.2887000093069</v>
      </c>
      <c r="AX11" s="36">
        <f>6059.234*1.00033342455996</f>
        <v>6061.254297430145</v>
      </c>
      <c r="AY11">
        <f>105965.5*1.0058795854645</f>
        <v>106588.53321353847</v>
      </c>
      <c r="AZ11">
        <f>142507.2*1.00793134499767</f>
        <v>143637.47376785195</v>
      </c>
      <c r="BA11">
        <f>14785.28*1.00081418375377</f>
        <v>14797.317934770943</v>
      </c>
      <c r="BB11">
        <f>9462.359*1.00052083639187</f>
        <v>9467.2873409201402</v>
      </c>
      <c r="BC11">
        <f>6089.442*1.00033508766665</f>
        <v>6091.4824969109804</v>
      </c>
      <c r="BD11" s="36">
        <f>94257.15*1.00522483086022</f>
        <v>94749.627666116387</v>
      </c>
      <c r="BE11" s="36">
        <f>143563.4*1.00799083623795</f>
        <v>144710.59161916329</v>
      </c>
      <c r="BF11" s="36">
        <f>13518.61*1.0007443538883</f>
        <v>13528.672629917914</v>
      </c>
      <c r="BG11" s="36">
        <f>9199.859*1.00050637663297</f>
        <v>9204.5175936242194</v>
      </c>
      <c r="BH11" s="36">
        <f>5794.65*1.0003188581964</f>
        <v>5796.4976716477686</v>
      </c>
      <c r="BI11">
        <f>97026.94*1.00537960745589</f>
        <v>97548.9068498462</v>
      </c>
      <c r="BJ11">
        <f>143391.5*1.00798115312483</f>
        <v>144535.92951829906</v>
      </c>
      <c r="BK11">
        <f>14479.03*1.00079729925039</f>
        <v>14490.574119765375</v>
      </c>
      <c r="BL11">
        <f>9331.109*1.00051360643404</f>
        <v>9335.9015176191297</v>
      </c>
      <c r="BM11">
        <f>5896.734*1.00032447823657</f>
        <v>5898.6473618498421</v>
      </c>
      <c r="BN11" s="36">
        <f>109415.5*1.00607276104926</f>
        <v>110079.9541865853</v>
      </c>
      <c r="BO11" s="36">
        <f>145484.2*1.00809905377705</f>
        <v>146662.48435951112</v>
      </c>
      <c r="BP11" s="36">
        <f>14839.44*1.00081716984992</f>
        <v>14851.566342957696</v>
      </c>
      <c r="BQ11" s="36">
        <f>9411.317*1.00051802470462</f>
        <v>9416.1922947090079</v>
      </c>
      <c r="BR11" s="36">
        <f>6225.9*1.00034260048893</f>
        <v>6228.0329963840286</v>
      </c>
    </row>
    <row r="12" spans="1:70" x14ac:dyDescent="0.15">
      <c r="A12">
        <f>97611.32*1.0054122719139</f>
        <v>98139.619005714718</v>
      </c>
      <c r="B12">
        <f>132729*1.00738108158325</f>
        <v>133708.68357746321</v>
      </c>
      <c r="C12">
        <f>13910.28*1.00076594458321</f>
        <v>13920.934503616934</v>
      </c>
      <c r="D12">
        <f>9132.15*1.00050264699825</f>
        <v>9136.7402477850701</v>
      </c>
      <c r="E12">
        <f>5940.484*1.00032688683848</f>
        <v>5942.4258660338019</v>
      </c>
      <c r="F12" s="36">
        <f>105606.1*1.00585946801886</f>
        <v>106224.89556554653</v>
      </c>
      <c r="G12" s="36">
        <f>138938.4*1.00773040780309</f>
        <v>140012.45049150882</v>
      </c>
      <c r="H12" s="36">
        <f>15236.32*1.00083905253131</f>
        <v>15249.104072863849</v>
      </c>
      <c r="I12" s="36">
        <f>9446.734*1.00051997567439</f>
        <v>9451.6460718824346</v>
      </c>
      <c r="J12" s="36">
        <f>5994.65*1.00032986890445</f>
        <v>5996.6274486280608</v>
      </c>
      <c r="K12">
        <f>117814.4*1.0065435065726</f>
        <v>118585.31930074692</v>
      </c>
      <c r="L12">
        <f>138725.9*1.0077184470336</f>
        <v>139796.64851133848</v>
      </c>
      <c r="M12">
        <f>15834.23*1.00087202206867</f>
        <v>15848.037798000396</v>
      </c>
      <c r="N12">
        <f>9241.525*1.0005086717542</f>
        <v>9246.2259027332329</v>
      </c>
      <c r="O12">
        <f>5982.15*1.00032918072454</f>
        <v>5984.1192084713066</v>
      </c>
      <c r="P12" s="36">
        <f>79737.36*1.00441463093075</f>
        <v>80089.371015792349</v>
      </c>
      <c r="Q12" s="36">
        <f>134511.3*1.00748131232488</f>
        <v>135517.62104652563</v>
      </c>
      <c r="R12" s="36">
        <f>11751.94*1.0006469840863</f>
        <v>11759.543318163152</v>
      </c>
      <c r="S12" s="36">
        <f>8902.984*1.00049002408975</f>
        <v>8907.3466766306592</v>
      </c>
      <c r="T12" s="36">
        <f>5579.025*1.00030698768413</f>
        <v>5580.737691964453</v>
      </c>
      <c r="U12">
        <f>82483.19*1.00456769699339</f>
        <v>82859.948218968231</v>
      </c>
      <c r="V12">
        <f>133686.3*1.00743491328702</f>
        <v>134680.24604816252</v>
      </c>
      <c r="W12">
        <f>12262.36*1.00067511290225</f>
        <v>12270.638477448034</v>
      </c>
      <c r="X12">
        <f>8731.109*1.00048055719442</f>
        <v>8735.304797245215</v>
      </c>
      <c r="Y12">
        <f>5566.525*1.00030629955145</f>
        <v>5568.230024110635</v>
      </c>
      <c r="Z12" s="36">
        <f>90126.94*1.00499416656469</f>
        <v>90577.048950325829</v>
      </c>
      <c r="AA12" s="36">
        <f>138026.9*1.00767910614911</f>
        <v>139086.82321653259</v>
      </c>
      <c r="AB12" s="36">
        <f>14050.9*1.00077369656085</f>
        <v>14061.771133006847</v>
      </c>
      <c r="AC12" s="36">
        <f>9490.484*1.00052238568895</f>
        <v>9495.441693022809</v>
      </c>
      <c r="AD12" s="36">
        <f>6317.567*1.00034764739605</f>
        <v>6319.763285716921</v>
      </c>
      <c r="AE12">
        <f>101700.9*1.00564095204134</f>
        <v>102274.58989946112</v>
      </c>
      <c r="AF12">
        <f>136004*1.00756527998401</f>
        <v>137032.9083389453</v>
      </c>
      <c r="AG12">
        <f>15137.36*1.00083359606216</f>
        <v>15149.978443687498</v>
      </c>
      <c r="AH12">
        <f>9109.234*1.00050138471895</f>
        <v>9113.8012307289391</v>
      </c>
      <c r="AI12">
        <f>6116.525*1.00033657873298</f>
        <v>6118.5836922347407</v>
      </c>
      <c r="AJ12" s="36">
        <f>96551.94*1.00535305924308</f>
        <v>97068.788254854298</v>
      </c>
      <c r="AK12" s="36">
        <f>137317.6*1.00763919028398</f>
        <v>138366.59527573947</v>
      </c>
      <c r="AL12" s="36">
        <f>14327.98*1.00078897171459</f>
        <v>14339.284370947209</v>
      </c>
      <c r="AM12" s="36">
        <f>9336.317*1.00051389331578</f>
        <v>9341.1148709003028</v>
      </c>
      <c r="AN12" s="36">
        <f>6022.775*1.00033141731443</f>
        <v>6024.7710519159155</v>
      </c>
      <c r="AO12">
        <f>92001.94*1.00509886199952</f>
        <v>92471.045195748127</v>
      </c>
      <c r="AP12">
        <f>136259.2*1.00757963765193</f>
        <v>137291.99536274187</v>
      </c>
      <c r="AQ12">
        <f>14299.86*1.00078742145415</f>
        <v>14311.12001655534</v>
      </c>
      <c r="AR12">
        <f>9261.317*1.00050976197813</f>
        <v>9266.0380672740084</v>
      </c>
      <c r="AS12">
        <f>5947.775*1.00032728823712</f>
        <v>5949.7216367945357</v>
      </c>
      <c r="AT12" s="36">
        <f>88622.78*1.00491020161599</f>
        <v>89057.935717569533</v>
      </c>
      <c r="AU12" s="36">
        <f>137503*1.00764962321202</f>
        <v>138554.84614052239</v>
      </c>
      <c r="AV12" s="36">
        <f>13517.57*1.00074429656046</f>
        <v>13527.631080856778</v>
      </c>
      <c r="AW12" s="36">
        <f>9226.942*1.00050786846548</f>
        <v>9231.6280728746115</v>
      </c>
      <c r="AX12" s="36">
        <f>6072.775*1.00033417006104</f>
        <v>6074.8043395924315</v>
      </c>
      <c r="AY12">
        <f>106711.3*1.00592133554171</f>
        <v>107343.17341339208</v>
      </c>
      <c r="AZ12">
        <f>141966.5*1.00790089375927</f>
        <v>143088.1622338754</v>
      </c>
      <c r="BA12">
        <f>15064.44*1.00082957544698</f>
        <v>15076.937089546504</v>
      </c>
      <c r="BB12">
        <f>9320.692*1.00051303261622</f>
        <v>9325.4738190017397</v>
      </c>
      <c r="BC12">
        <f>6202.984*1.00034133881538</f>
        <v>6205.101319210381</v>
      </c>
      <c r="BD12" s="36">
        <f>93987.36*1.00520975875036</f>
        <v>94477.011471183228</v>
      </c>
      <c r="BE12" s="36">
        <f>143430.1*1.00798332743536</f>
        <v>144575.14945238642</v>
      </c>
      <c r="BF12" s="36">
        <f>13895.69*1.00076514028863</f>
        <v>13906.322152257313</v>
      </c>
      <c r="BG12" s="36">
        <f>9143.609*1.00050327819478</f>
        <v>9148.2107790312948</v>
      </c>
      <c r="BH12" s="36">
        <f>5872.775*1.00032315921095</f>
        <v>5874.6728413350866</v>
      </c>
      <c r="BI12">
        <f>95057.15*1.00526952771731</f>
        <v>95558.056286653489</v>
      </c>
      <c r="BJ12">
        <f>143289.4*1.00797540197248</f>
        <v>144432.19056339547</v>
      </c>
      <c r="BK12">
        <f>14080.07*1.00077530464193</f>
        <v>14090.9863436297</v>
      </c>
      <c r="BL12">
        <f>9322.775*1.00051314735767</f>
        <v>9327.5589573574016</v>
      </c>
      <c r="BM12">
        <f>6013.4*1.00033090117697</f>
        <v>6015.3898411375912</v>
      </c>
      <c r="BN12" s="36">
        <f>108994.7*1.00604919325638</f>
        <v>109654.03000422116</v>
      </c>
      <c r="BO12" s="36">
        <f>146013.4*1.00812887495307</f>
        <v>147200.32467007256</v>
      </c>
      <c r="BP12" s="36">
        <f>15606.11*1.00085944284977</f>
        <v>15619.522559652223</v>
      </c>
      <c r="BQ12" s="36">
        <f>9476.942*1.00052163971184</f>
        <v>9481.8855492940038</v>
      </c>
      <c r="BR12" s="36">
        <f>6301.942*1.00034678712552</f>
        <v>6304.1274323513744</v>
      </c>
    </row>
    <row r="13" spans="1:70" x14ac:dyDescent="0.15">
      <c r="A13">
        <f>97467.57*1.00540423657958</f>
        <v>97994.307807116769</v>
      </c>
      <c r="B13">
        <f>133011.3*1.00739695521656</f>
        <v>133995.17862939643</v>
      </c>
      <c r="C13">
        <f>14467.57*1.00079666744197</f>
        <v>14479.095841983421</v>
      </c>
      <c r="D13">
        <f>9088.4*1.00050023712635</f>
        <v>9092.9463550991186</v>
      </c>
      <c r="E13">
        <f>5865.484*1.00032275781728</f>
        <v>5867.3771308131309</v>
      </c>
      <c r="F13" s="36">
        <f>107740.5*1.00597895897817</f>
        <v>108384.67602978753</v>
      </c>
      <c r="G13" s="36">
        <f>140390.5*1.00781215209336</f>
        <v>141487.25193846287</v>
      </c>
      <c r="H13" s="36">
        <f>15024.86*1.00082739313117</f>
        <v>15037.29146596079</v>
      </c>
      <c r="I13" s="36">
        <f>9375.9*1.00051607374626</f>
        <v>9380.7386558375583</v>
      </c>
      <c r="J13" s="36">
        <f>5967.567*1.00032837786813</f>
        <v>5969.5266169293827</v>
      </c>
      <c r="K13">
        <f>118649.9*1.00659037128854</f>
        <v>119431.84689434814</v>
      </c>
      <c r="L13">
        <f>139231.1*1.00774688340671</f>
        <v>140309.707098288</v>
      </c>
      <c r="M13">
        <f>16034.23*1.00088305105701</f>
        <v>16048.389043749839</v>
      </c>
      <c r="N13">
        <f>9174.859*1.00050499954577</f>
        <v>9179.4922996275036</v>
      </c>
      <c r="O13">
        <f>6263.4*1.00034466511601</f>
        <v>6265.558775487616</v>
      </c>
      <c r="P13" s="36">
        <f>77937.36*1.00431432809415</f>
        <v>78273.607341831885</v>
      </c>
      <c r="Q13" s="36">
        <f>133838.4*1.00744346709927</f>
        <v>134834.62172701894</v>
      </c>
      <c r="R13" s="36">
        <f>11507.15*1.0006334947575</f>
        <v>11514.439719198765</v>
      </c>
      <c r="S13" s="36">
        <f>8869.65*1.00048818802808</f>
        <v>8873.9800569432591</v>
      </c>
      <c r="T13" s="36">
        <f>5642.567*1.00031048573222</f>
        <v>5644.318936546596</v>
      </c>
      <c r="U13">
        <f>83669.65*1.00463385779243</f>
        <v>84057.363259642385</v>
      </c>
      <c r="V13">
        <f>133822.8*1.00744258977514</f>
        <v>134818.7882029606</v>
      </c>
      <c r="W13">
        <f>12375.9*1.00068137031855</f>
        <v>12384.332570925342</v>
      </c>
      <c r="X13">
        <f>8923.817*1.00049117159212</f>
        <v>8928.2001254036768</v>
      </c>
      <c r="Y13">
        <f>5632.15*1.00030991226386</f>
        <v>5633.8954723568986</v>
      </c>
      <c r="Z13" s="36">
        <f>88633.19*1.00491078264871</f>
        <v>89068.448331551815</v>
      </c>
      <c r="AA13" s="36">
        <f>137757.2*1.00766392821848</f>
        <v>138812.96129237881</v>
      </c>
      <c r="AB13" s="36">
        <f>13964.44*1.00076893024747</f>
        <v>13975.177680304982</v>
      </c>
      <c r="AC13" s="36">
        <f>9370.692*1.00051578686264</f>
        <v>9375.525279827445</v>
      </c>
      <c r="AD13" s="36">
        <f>6125.9*1.00033709487922</f>
        <v>6127.9650095206134</v>
      </c>
      <c r="AE13">
        <f>104795.7*1.00581411024689</f>
        <v>105404.99375320002</v>
      </c>
      <c r="AF13">
        <f>138004*1.00767781737708</f>
        <v>139063.56950930654</v>
      </c>
      <c r="AG13">
        <f>15411.32*1.00084870192225</f>
        <v>15424.399616908411</v>
      </c>
      <c r="AH13">
        <f>9139.442*1.00050304866362</f>
        <v>9144.0395840843303</v>
      </c>
      <c r="AI13">
        <f>5974.859*1.00032877932362</f>
        <v>5976.8234101007447</v>
      </c>
      <c r="AJ13" s="36">
        <f>94351.94*1.0052301265672</f>
        <v>94845.412588060848</v>
      </c>
      <c r="AK13" s="36">
        <f>136732.2*1.00760625047368</f>
        <v>137772.21936101731</v>
      </c>
      <c r="AL13" s="36">
        <f>14569.65*1.00080229532035</f>
        <v>14581.339162014136</v>
      </c>
      <c r="AM13" s="36">
        <f>9388.4*1.00051676231201</f>
        <v>9393.2515712900731</v>
      </c>
      <c r="AN13" s="36">
        <f>6115.484*1.00033652142014</f>
        <v>6117.5419913605247</v>
      </c>
      <c r="AO13">
        <f>93247.78*1.00516844479661</f>
        <v>93729.726003336444</v>
      </c>
      <c r="AP13">
        <f>135888.4*1.00755877647795</f>
        <v>136915.55004154623</v>
      </c>
      <c r="AQ13">
        <f>14311.32*1.00078805324506</f>
        <v>14322.598082167091</v>
      </c>
      <c r="AR13">
        <f>9112.359*1.00050155685267</f>
        <v>9116.9293661004394</v>
      </c>
      <c r="AS13">
        <f>5968.609*1.00032843523462</f>
        <v>5970.5693014972703</v>
      </c>
      <c r="AT13" s="36">
        <f>89652.98*1.00496770698031</f>
        <v>90098.349734551593</v>
      </c>
      <c r="AU13" s="36">
        <f>136878*1.00761445417557</f>
        <v>137920.25125864366</v>
      </c>
      <c r="AV13" s="36">
        <f>13702.98*1.00075451705684</f>
        <v>13713.319132139535</v>
      </c>
      <c r="AW13" s="36">
        <f>9160.275*1.00050419621081</f>
        <v>9164.8935759449778</v>
      </c>
      <c r="AX13" s="36">
        <f>5970.692*1.00032854991256</f>
        <v>5972.6536703345228</v>
      </c>
      <c r="AY13">
        <f>106561.3*1.00591293808444</f>
        <v>107191.39036909744</v>
      </c>
      <c r="AZ13">
        <f>142228*1.00791562061715</f>
        <v>143353.822889136</v>
      </c>
      <c r="BA13">
        <f>15072.78*1.00083003528998</f>
        <v>15085.290939318105</v>
      </c>
      <c r="BB13">
        <f>9465.484*1.00052100853564</f>
        <v>9470.4155979579646</v>
      </c>
      <c r="BC13">
        <f>6047.775*1.0003327936849</f>
        <v>6049.7876613276958</v>
      </c>
      <c r="BD13" s="36">
        <f>92574.86*1.00513085899476</f>
        <v>93049.848553119649</v>
      </c>
      <c r="BE13" s="36">
        <f>144443.6*1.00804042221667</f>
        <v>145604.9875304958</v>
      </c>
      <c r="BF13" s="36">
        <f>13802.98*1.00076002956288</f>
        <v>13813.470672855841</v>
      </c>
      <c r="BG13" s="36">
        <f>9225.9*1.00050781106812</f>
        <v>9230.5850141333685</v>
      </c>
      <c r="BH13" s="36">
        <f>5898.817*1.00032459291315</f>
        <v>5900.7317141941685</v>
      </c>
      <c r="BI13">
        <f>94420.69*1.00523396752962</f>
        <v>94914.884825584319</v>
      </c>
      <c r="BJ13">
        <f>142442.6*1.0079277066979</f>
        <v>143571.84315408629</v>
      </c>
      <c r="BK13">
        <f>13969.65*1.0007692174592</f>
        <v>13980.395698678913</v>
      </c>
      <c r="BL13">
        <f>9213.4*1.00050712252085</f>
        <v>9218.0723226335977</v>
      </c>
      <c r="BM13">
        <f>6057.15*1.00033330982529</f>
        <v>6059.1689076082548</v>
      </c>
      <c r="BN13" s="36">
        <f>109415.5*1.00607276104926</f>
        <v>110079.9541865853</v>
      </c>
      <c r="BO13" s="36">
        <f>146024.9*1.00812952302395</f>
        <v>147212.01278661998</v>
      </c>
      <c r="BP13" s="36">
        <f>15610.28*1.00085967279178</f>
        <v>15623.699732988069</v>
      </c>
      <c r="BQ13" s="36">
        <f>9682.15*1.00053294401656</f>
        <v>9687.3100439099362</v>
      </c>
      <c r="BR13" s="36">
        <f>6296.734*1.00034650038752</f>
        <v>6298.9158207711107</v>
      </c>
    </row>
    <row r="14" spans="1:70" x14ac:dyDescent="0.15">
      <c r="A14">
        <f>97818.61*1.00542385934554</f>
        <v>98349.164382016228</v>
      </c>
      <c r="B14">
        <f>133835.3*1.00744329275904</f>
        <v>134831.47531939394</v>
      </c>
      <c r="C14">
        <f>13313.4*1.00073304230469</f>
        <v>13323.15928541926</v>
      </c>
      <c r="D14">
        <f>9038.4*1.00049748300836</f>
        <v>9042.8964504227606</v>
      </c>
      <c r="E14">
        <f>5914.442*1.00032545312642</f>
        <v>5916.3668736399304</v>
      </c>
      <c r="F14" s="36">
        <f>106156.1*1.00589025480646</f>
        <v>106781.38647826007</v>
      </c>
      <c r="G14" s="36">
        <f>139951.9*1.00778745951181</f>
        <v>141041.76975485086</v>
      </c>
      <c r="H14" s="36">
        <f>15207.15*1.00083744414284</f>
        <v>15219.885138696789</v>
      </c>
      <c r="I14" s="36">
        <f>9441.525*1.00051968873233</f>
        <v>9446.4316541585122</v>
      </c>
      <c r="J14" s="36">
        <f>6049.859*1.0003329084194</f>
        <v>6051.8730489972831</v>
      </c>
      <c r="K14">
        <f>118954*1.00660743043939</f>
        <v>119739.98028048719</v>
      </c>
      <c r="L14">
        <f>139505.1*1.00776230715199</f>
        <v>140587.98143546909</v>
      </c>
      <c r="M14">
        <f>15301.94*1.0008426707445</f>
        <v>15314.834497172094</v>
      </c>
      <c r="N14">
        <f>8971.734*1.00049381092314</f>
        <v>8976.164340248708</v>
      </c>
      <c r="O14">
        <f>6000.9*1.00033021299493</f>
        <v>6002.8815751612756</v>
      </c>
      <c r="P14" s="36">
        <f>79507.15*1.00440180107687</f>
        <v>79857.124658488858</v>
      </c>
      <c r="Q14" s="36">
        <f>133917.6*1.00744792124182</f>
        <v>134915.00773769355</v>
      </c>
      <c r="R14" s="36">
        <f>11588.4*1.00063797203662</f>
        <v>11595.793075149168</v>
      </c>
      <c r="S14" s="36">
        <f>8704.025*1.00047906542901</f>
        <v>8708.19479747074</v>
      </c>
      <c r="T14" s="36">
        <f>5791.525*1.00031868615697</f>
        <v>5793.3706788452446</v>
      </c>
      <c r="U14">
        <f>83168.61*1.00460591660493</f>
        <v>83551.677681807938</v>
      </c>
      <c r="V14">
        <f>134798.8*1.0074974831964</f>
        <v>135809.45173789488</v>
      </c>
      <c r="W14">
        <f>12349.86*1.00067993519174</f>
        <v>12358.257104427063</v>
      </c>
      <c r="X14">
        <f>8844.65*1.000486811016</f>
        <v>8848.9556730526638</v>
      </c>
      <c r="Y14">
        <f>5783.192*1.00031822740395</f>
        <v>5785.0323701767038</v>
      </c>
      <c r="Z14" s="36">
        <f>89370.69*1.00495194867857</f>
        <v>89813.249070248392</v>
      </c>
      <c r="AA14" s="36">
        <f>137774.9*1.00766492430186</f>
        <v>138830.93417919634</v>
      </c>
      <c r="AB14" s="36">
        <f>14206.11*1.00078225305259</f>
        <v>14217.22277291293</v>
      </c>
      <c r="AC14" s="36">
        <f>9424.859*1.00051877067364</f>
        <v>9429.7483404523919</v>
      </c>
      <c r="AD14" s="36">
        <f>6162.359*1.00033910215894</f>
        <v>6164.4486692410637</v>
      </c>
      <c r="AE14">
        <f>104753*1.00581172051502</f>
        <v>105361.7951591099</v>
      </c>
      <c r="AF14">
        <f>138121.7*1.00768444138034</f>
        <v>139183.08810700293</v>
      </c>
      <c r="AG14">
        <f>14910.28*1.00082107563346</f>
        <v>14922.522467596065</v>
      </c>
      <c r="AH14">
        <f>9602.984*1.00052858294923</f>
        <v>9608.0599736041295</v>
      </c>
      <c r="AI14">
        <f>5976.942*1.00032889400169</f>
        <v>5978.9077803722485</v>
      </c>
      <c r="AJ14" s="36">
        <f>94490.48*1.00523786664042</f>
        <v>94985.408533029273</v>
      </c>
      <c r="AK14" s="36">
        <f>136587.4*1.00759810323738</f>
        <v>137625.20516612532</v>
      </c>
      <c r="AL14" s="36">
        <f>13405.07*1.00073809529012</f>
        <v>13414.964219030728</v>
      </c>
      <c r="AM14" s="36">
        <f>9455.067*1.00052043470507</f>
        <v>9459.987745005561</v>
      </c>
      <c r="AN14" s="36">
        <f>6207.15*1.00034156818019</f>
        <v>6209.270164929666</v>
      </c>
      <c r="AO14">
        <f>93250.9*1.00516861907337</f>
        <v>93732.878380348906</v>
      </c>
      <c r="AP14">
        <f>136214.4*1.00757711713906</f>
        <v>137246.51246482675</v>
      </c>
      <c r="AQ14">
        <f>13617.57*1.00074980889757</f>
        <v>13627.780575149282</v>
      </c>
      <c r="AR14">
        <f>9168.609*1.00050465527486</f>
        <v>9173.2359868949789</v>
      </c>
      <c r="AS14">
        <f>6070.692*1.00033405538117</f>
        <v>6072.7199473300252</v>
      </c>
      <c r="AT14" s="36">
        <f>89385.28*1.00495276311934</f>
        <v>89827.984118195876</v>
      </c>
      <c r="AU14" s="36">
        <f>135842.6*1.00755619986426</f>
        <v>136869.05383568071</v>
      </c>
      <c r="AV14" s="36">
        <f>13612.36*1.00074952170256</f>
        <v>13622.562759243059</v>
      </c>
      <c r="AW14" s="36">
        <f>9242.567*1.00050872915172</f>
        <v>9247.2689632696256</v>
      </c>
      <c r="AX14" s="36">
        <f>6002.984*1.00033032772854</f>
        <v>6004.9669520691823</v>
      </c>
      <c r="AY14">
        <f>108687.4*1.00603198331909</f>
        <v>109343.00058379526</v>
      </c>
      <c r="AZ14">
        <f>141765.5*1.00788957451102</f>
        <v>142883.96947534199</v>
      </c>
      <c r="BA14">
        <f>15438.4*1.00085019512151</f>
        <v>15451.52565236392</v>
      </c>
      <c r="BB14">
        <f>9363.4*1.00051538518193</f>
        <v>9368.225757612483</v>
      </c>
      <c r="BC14">
        <f>6046.734*1.00033273637272</f>
        <v>6048.7459683379629</v>
      </c>
      <c r="BD14" s="36">
        <f>93796.73*1.00519910940886</f>
        <v>94284.389461463288</v>
      </c>
      <c r="BE14" s="36">
        <f>143714.4*1.00799934228656</f>
        <v>144864.02067710759</v>
      </c>
      <c r="BF14" s="36">
        <f>13344.65*1.00073476484212</f>
        <v>13354.455179650398</v>
      </c>
      <c r="BG14" s="36">
        <f>9032.15*1.00049713874521</f>
        <v>9036.6402317175471</v>
      </c>
      <c r="BH14" s="36">
        <f>5840.484*1.00032138148825</f>
        <v>5842.3610234400203</v>
      </c>
      <c r="BI14">
        <f>94609.23*1.00524450121125</f>
        <v>95105.408221330435</v>
      </c>
      <c r="BJ14">
        <f>143249.9*1.00797317701837</f>
        <v>144392.05681056378</v>
      </c>
      <c r="BK14">
        <f>13733.19*1.00075618237531</f>
        <v>13743.574796234783</v>
      </c>
      <c r="BL14">
        <f>9396.734*1.00051722139336</f>
        <v>9401.5941918525132</v>
      </c>
      <c r="BM14">
        <f>5933.192*1.00032648538527</f>
        <v>5935.1291004760014</v>
      </c>
      <c r="BN14" s="36">
        <f>110347.8*1.00612498239171</f>
        <v>111023.67833196394</v>
      </c>
      <c r="BO14" s="36">
        <f>145822.8*1.00811813406509</f>
        <v>147006.60904014678</v>
      </c>
      <c r="BP14" s="36">
        <f>15398.82*1.00084801267078</f>
        <v>15411.878394475059</v>
      </c>
      <c r="BQ14" s="36">
        <f>9624.859*1.00052978798544</f>
        <v>9629.9581346597552</v>
      </c>
      <c r="BR14" s="36">
        <f>6189.442*1.00034059324322</f>
        <v>6191.5500821245032</v>
      </c>
    </row>
    <row r="15" spans="1:70" x14ac:dyDescent="0.15">
      <c r="A15">
        <f>102974.9*1.00571222319797</f>
        <v>103563.11561258863</v>
      </c>
      <c r="B15">
        <f>135520.7*1.00753809099211</f>
        <v>136542.26736791444</v>
      </c>
      <c r="C15">
        <f>14456.11*1.00079603563475</f>
        <v>14467.617578699866</v>
      </c>
      <c r="D15">
        <f>9130.067*1.00050253226041</f>
        <v>9134.6551532072044</v>
      </c>
      <c r="E15">
        <f>6010.275*1.00033072913133</f>
        <v>6012.2627730298036</v>
      </c>
      <c r="F15" s="36">
        <f>107163.4*1.00594664675251</f>
        <v>107800.66288459793</v>
      </c>
      <c r="G15" s="36">
        <f>140845.7*1.00783778115629</f>
        <v>141949.61777340449</v>
      </c>
      <c r="H15" s="36">
        <f>14074.86*1.00077501742496</f>
        <v>14085.768261753872</v>
      </c>
      <c r="I15" s="36">
        <f>9399.859*1.00051739353526</f>
        <v>9404.7224262789568</v>
      </c>
      <c r="J15" s="36">
        <f>6002.984*1.00033032772854</f>
        <v>6004.9669520691823</v>
      </c>
      <c r="K15">
        <f>118744.7*1.00659568920747</f>
        <v>119527.90313623425</v>
      </c>
      <c r="L15">
        <f>138267.6*1.00769265262474</f>
        <v>139331.2446160565</v>
      </c>
      <c r="M15">
        <f>15108.19*1.00083198769999</f>
        <v>15120.759828249113</v>
      </c>
      <c r="N15">
        <f>9226.942*1.00050786846548</f>
        <v>9231.6280728746115</v>
      </c>
      <c r="O15">
        <f>6220.692*1.00034231375454</f>
        <v>6222.8214284343567</v>
      </c>
      <c r="P15" s="36">
        <f>80309.23*1.00444650399906</f>
        <v>80666.325312356421</v>
      </c>
      <c r="Q15" s="36">
        <f>135159.2*1.00751775554089</f>
        <v>136175.29382470227</v>
      </c>
      <c r="R15" s="36">
        <f>11548.82*1.00063579097424</f>
        <v>11556.162635519122</v>
      </c>
      <c r="S15" s="36">
        <f>8920.692*1.00049099946376</f>
        <v>8925.0720549883681</v>
      </c>
      <c r="T15" s="36">
        <f>5542.567*1.0003049806528</f>
        <v>5544.2573757018472</v>
      </c>
      <c r="U15">
        <f>83326.94*1.0046147458437</f>
        <v>83711.472650033247</v>
      </c>
      <c r="V15">
        <f>134875.9*1.00750181993501</f>
        <v>135887.71471537242</v>
      </c>
      <c r="W15">
        <f>12282.15*1.00067620356025</f>
        <v>12290.455233557526</v>
      </c>
      <c r="X15">
        <f>8842.567*1.00048669628361</f>
        <v>8846.8706444964719</v>
      </c>
      <c r="Y15">
        <f>5709.234*1.00031415585402</f>
        <v>5711.0275892830705</v>
      </c>
      <c r="Z15" s="36">
        <f>87348.82*1.00483910333378</f>
        <v>87771.509966063764</v>
      </c>
      <c r="AA15" s="36">
        <f>137606.1*1.00765542505094</f>
        <v>138659.53318510216</v>
      </c>
      <c r="AB15" s="36">
        <f>13511.32*1.00074395204242</f>
        <v>13521.37177410979</v>
      </c>
      <c r="AC15" s="36">
        <f>9442.567*1.00051974613174</f>
        <v>9447.4747376719461</v>
      </c>
      <c r="AD15" s="36">
        <f>6112.359*1.0003363493716</f>
        <v>6114.4148881086439</v>
      </c>
      <c r="AE15">
        <f>107866.5*1.00598601421968</f>
        <v>108512.19040282711</v>
      </c>
      <c r="AF15">
        <f>138108.2*1.00768368161121</f>
        <v>139169.37943669732</v>
      </c>
      <c r="AG15">
        <f>14247.78*1.00078455029383</f>
        <v>14258.958099985426</v>
      </c>
      <c r="AH15">
        <f>9306.109*1.00051222931699</f>
        <v>9310.8758618569045</v>
      </c>
      <c r="AI15">
        <f>6160.275*1.00033898742231</f>
        <v>6162.363255742971</v>
      </c>
      <c r="AJ15" s="36">
        <f>95729.03*1.00530707098715</f>
        <v>96237.070757741021</v>
      </c>
      <c r="AK15" s="36">
        <f>136390.5*1.00758702488926</f>
        <v>137425.29811815862</v>
      </c>
      <c r="AL15" s="36">
        <f>13970.69*1.00076927479132</f>
        <v>13981.437299634346</v>
      </c>
      <c r="AM15" s="36">
        <f>9448.817*1.00052009041823</f>
        <v>9453.7312391853084</v>
      </c>
      <c r="AN15" s="36">
        <f>6181.109*1.00034013446005</f>
        <v>6183.2114081722257</v>
      </c>
      <c r="AO15">
        <f>92361.32*1.00511893264666</f>
        <v>92834.111376236629</v>
      </c>
      <c r="AP15">
        <f>135867.6*1.00755760631032</f>
        <v>136894.43383112803</v>
      </c>
      <c r="AQ15">
        <f>13957.15*1.00076852837198</f>
        <v>13967.876465766982</v>
      </c>
      <c r="AR15">
        <f>9204.025*1.00050660611133</f>
        <v>9208.6878153138332</v>
      </c>
      <c r="AS15">
        <f>6079.025*1.00033451415597</f>
        <v>6081.0585199169955</v>
      </c>
      <c r="AT15" s="36">
        <f>89699.86*1.00497032403893</f>
        <v>90145.697370446665</v>
      </c>
      <c r="AU15" s="36">
        <f>137562.4*1.00765296586932</f>
        <v>138615.16035210175</v>
      </c>
      <c r="AV15" s="36">
        <f>14173.82*1.00078047293581</f>
        <v>14184.882282907043</v>
      </c>
      <c r="AW15" s="36">
        <f>9155.067*1.00050390933742</f>
        <v>9159.6803237460044</v>
      </c>
      <c r="AX15" s="36">
        <f>5798.817*1.00031908760079</f>
        <v>5800.6673306039502</v>
      </c>
      <c r="AY15">
        <f>106757.2*1.00592390520574</f>
        <v>107389.61953283023</v>
      </c>
      <c r="AZ15">
        <f>141514.4*1.00787543443497</f>
        <v>142628.88737880412</v>
      </c>
      <c r="BA15">
        <f>15655.07*1.00086214261058</f>
        <v>15668.566902918612</v>
      </c>
      <c r="BB15">
        <f>9343.609*1.0005142949947</f>
        <v>9348.414371341134</v>
      </c>
      <c r="BC15">
        <f>6182.15*1.0003401917735</f>
        <v>6184.2531165725422</v>
      </c>
      <c r="BD15" s="36">
        <f>94064.44*1.00521406483856</f>
        <v>94554.898089162831</v>
      </c>
      <c r="BE15" s="36">
        <f>143945.7*1.008012372169</f>
        <v>145099.04652052722</v>
      </c>
      <c r="BF15" s="36">
        <f>13879.03*1.00076422188473</f>
        <v>13889.636658464824</v>
      </c>
      <c r="BG15" s="36">
        <f>9317.567*1.00051286047657</f>
        <v>9322.3456118520935</v>
      </c>
      <c r="BH15" s="36">
        <f>5935.275*1.00032660006254</f>
        <v>5937.2134611861911</v>
      </c>
      <c r="BI15">
        <f>94629.03*1.00524560745144</f>
        <v>95125.416744890535</v>
      </c>
      <c r="BJ15">
        <f>143538.4*1.00798942797259</f>
        <v>144685.18970810081</v>
      </c>
      <c r="BK15">
        <f>13194.65*1.0007264967436</f>
        <v>13204.235870257942</v>
      </c>
      <c r="BL15">
        <f>9374.859*1.00051601640257</f>
        <v>9379.6965810157799</v>
      </c>
      <c r="BM15">
        <f>6009.234*1.0003306718195</f>
        <v>6011.2210843405819</v>
      </c>
      <c r="BN15" s="36">
        <f>109798.8*1.00609423001969</f>
        <v>110467.93914308594</v>
      </c>
      <c r="BO15" s="36">
        <f>146642.6*1.00816433472452</f>
        <v>147839.8392712739</v>
      </c>
      <c r="BP15" s="36">
        <f>14805.07*1.00081527486667</f>
        <v>14817.140201470291</v>
      </c>
      <c r="BQ15" s="36">
        <f>9461.317*1.00052077899228</f>
        <v>9466.2442551329023</v>
      </c>
      <c r="BR15" s="36">
        <f>6179.025*1.00034001972306</f>
        <v>6181.1259903692808</v>
      </c>
    </row>
    <row r="16" spans="1:70" x14ac:dyDescent="0.15">
      <c r="A16">
        <f>99941.53*1.00554255286663</f>
        <v>100495.46121359688</v>
      </c>
      <c r="B16">
        <f>133958.2*1.00745020457522</f>
        <v>134956.21599452826</v>
      </c>
      <c r="C16">
        <f>15189.44*1.00083646764474</f>
        <v>15202.145475101721</v>
      </c>
      <c r="D16">
        <f>9082.15*1.00049989286036</f>
        <v>9086.6901019417164</v>
      </c>
      <c r="E16">
        <f>5975.9*1.00032883663512</f>
        <v>5977.8650948478125</v>
      </c>
      <c r="F16" s="36">
        <f>105372.8*1.00584640967871</f>
        <v>105988.85255779278</v>
      </c>
      <c r="G16" s="36">
        <f>139518.6*1.0077630670994</f>
        <v>140601.69225341437</v>
      </c>
      <c r="H16" s="36">
        <f>14673.82*1.0008080385226</f>
        <v>14685.677011833697</v>
      </c>
      <c r="I16" s="36">
        <f>9333.192*1.00051372117569</f>
        <v>9337.9866583671792</v>
      </c>
      <c r="J16" s="36">
        <f>5967.567*1.00032837786813</f>
        <v>5969.5266169293827</v>
      </c>
      <c r="K16">
        <f>122040.5*1.00678062355987</f>
        <v>122868.01068955832</v>
      </c>
      <c r="L16">
        <f>140530.1*1.00782001176458</f>
        <v>141629.04703527759</v>
      </c>
      <c r="M16">
        <f>15838.4*1.00087225201935</f>
        <v>15852.215076383274</v>
      </c>
      <c r="N16">
        <f>9012.359*1.00049604861764</f>
        <v>9016.8295682236258</v>
      </c>
      <c r="O16">
        <f>6161.317*1.00033904479062</f>
        <v>6163.4059624322081</v>
      </c>
      <c r="P16" s="36">
        <f>79489.44*1.00440081409968</f>
        <v>79839.258248327678</v>
      </c>
      <c r="Q16" s="36">
        <f>134226.9*1.00746531658538</f>
        <v>135228.94630277413</v>
      </c>
      <c r="R16" s="36">
        <f>11301.94*1.00062218693346</f>
        <v>11308.971919390749</v>
      </c>
      <c r="S16" s="36">
        <f>8850.9*1.00048715526849</f>
        <v>8855.2117625658775</v>
      </c>
      <c r="T16" s="36">
        <f>5606.109*1.00030847867984</f>
        <v>5607.8383651033591</v>
      </c>
      <c r="U16">
        <f>84620.69*1.0046869002739</f>
        <v>85017.298735138611</v>
      </c>
      <c r="V16">
        <f>135091.5*1.00751394735154</f>
        <v>136106.57041864056</v>
      </c>
      <c r="W16">
        <f>12571.73*1.0006921631771</f>
        <v>12580.431688578443</v>
      </c>
      <c r="X16">
        <f>8941.525*1.00049214696949</f>
        <v>8945.9255444313694</v>
      </c>
      <c r="Y16">
        <f>5698.817*1.00031358237934</f>
        <v>5700.604048594284</v>
      </c>
      <c r="Z16" s="36">
        <f>90798.82*1.00503167894068</f>
        <v>91255.6905104326</v>
      </c>
      <c r="AA16" s="36">
        <f>138878*1.00772700808683</f>
        <v>139951.11142908275</v>
      </c>
      <c r="AB16" s="36">
        <f>13138.4*1.0007233962595</f>
        <v>13147.904269415812</v>
      </c>
      <c r="AC16" s="36">
        <f>9483.192*1.00052198400028</f>
        <v>9488.1420744955813</v>
      </c>
      <c r="AD16" s="36">
        <f>6110.275*1.00033623463592</f>
        <v>6112.329486089995</v>
      </c>
      <c r="AE16">
        <f>106233.2*1.00589457078066</f>
        <v>106859.399116656</v>
      </c>
      <c r="AF16">
        <f>136847.8*1.00761275490121</f>
        <v>137889.58876016978</v>
      </c>
      <c r="AG16">
        <f>14592.57*1.00080355895971</f>
        <v>14604.295990368695</v>
      </c>
      <c r="AH16">
        <f>9360.275*1.00051521304107</f>
        <v>9365.0975357480002</v>
      </c>
      <c r="AI16">
        <f>6012.359*1.00033084386512</f>
        <v>6014.3481520900486</v>
      </c>
      <c r="AJ16" s="36">
        <f>94616.53*1.00524490906705</f>
        <v>95112.785096089821</v>
      </c>
      <c r="AK16" s="36">
        <f>136024.9*1.00756645580437</f>
        <v>137054.12639414385</v>
      </c>
      <c r="AL16" s="36">
        <f>14154.03*1.00077938193676</f>
        <v>14165.06139531436</v>
      </c>
      <c r="AM16" s="36">
        <f>9425.9*1.0005188280178</f>
        <v>9430.79042101298</v>
      </c>
      <c r="AN16" s="36">
        <f>6056.109*1.00033325251302</f>
        <v>6058.1272135433728</v>
      </c>
      <c r="AO16">
        <f>93541.53*1.00518485346391</f>
        <v>94026.529125839952</v>
      </c>
      <c r="AP16">
        <f>135735.3*1.0075501634648</f>
        <v>136760.12370294367</v>
      </c>
      <c r="AQ16">
        <f>13643.61*1.00075124432511</f>
        <v>13653.859684586516</v>
      </c>
      <c r="AR16">
        <f>9305.067*1.00051217191887</f>
        <v>9309.8327940206036</v>
      </c>
      <c r="AS16">
        <f>6040.484*1.00033239227963</f>
        <v>6042.4918102468282</v>
      </c>
      <c r="AT16" s="36">
        <f>90438.4*1.00501155546326</f>
        <v>90891.637057608488</v>
      </c>
      <c r="AU16" s="36">
        <f>137522.8*1.00765073742741</f>
        <v>138574.9508330822</v>
      </c>
      <c r="AV16" s="36">
        <f>13416.53*1.00073872698758</f>
        <v>13426.441152790678</v>
      </c>
      <c r="AW16" s="36">
        <f>9392.567*1.00051699185261</f>
        <v>9397.4228806140927</v>
      </c>
      <c r="AX16" s="36">
        <f>5990.484*1.00032963954769</f>
        <v>5992.4587004362038</v>
      </c>
      <c r="AY16">
        <f>109209.2*1.00606120657464</f>
        <v>109871.13952105117</v>
      </c>
      <c r="AZ16">
        <f>143139.4*1.0079669528581</f>
        <v>144279.78485193671</v>
      </c>
      <c r="BA16">
        <f>14825.9*1.00081642332337</f>
        <v>14838.004210549952</v>
      </c>
      <c r="BB16">
        <f>9287.359*1.00051119648293</f>
        <v>9292.1066652565096</v>
      </c>
      <c r="BC16">
        <f>6152.984*1.00033858600958</f>
        <v>6155.0673142995693</v>
      </c>
      <c r="BD16" s="36">
        <f>96919.65*1.00537361072907</f>
        <v>97440.458471097707</v>
      </c>
      <c r="BE16" s="36">
        <f>144679*1.00805368469537</f>
        <v>145844.19904804145</v>
      </c>
      <c r="BF16" s="36">
        <f>13496.73*1.00074314780088</f>
        <v>13506.76006521857</v>
      </c>
      <c r="BG16" s="36">
        <f>9032.15*1.00049713874521</f>
        <v>9036.6402317175471</v>
      </c>
      <c r="BH16" s="36">
        <f>6002.984*1.00033032772854</f>
        <v>6004.9669520691823</v>
      </c>
      <c r="BI16">
        <f>97144.65*1.00538618670821</f>
        <v>97667.889222603699</v>
      </c>
      <c r="BJ16">
        <f>143540.5*1.00798954626665</f>
        <v>144687.32346588807</v>
      </c>
      <c r="BK16">
        <f>13569.65*1.00074716737426</f>
        <v>13579.788799760128</v>
      </c>
      <c r="BL16">
        <f>9008.192*1.00049581909146</f>
        <v>9012.658433573135</v>
      </c>
      <c r="BM16">
        <f>5956.109*1.00032774705767</f>
        <v>5958.0610971999113</v>
      </c>
      <c r="BN16" s="36">
        <f>109875.9*1.00609854862491</f>
        <v>110545.98351885575</v>
      </c>
      <c r="BO16" s="36">
        <f>144948.8*1.0080688859217</f>
        <v>146118.3753316873</v>
      </c>
      <c r="BP16" s="36">
        <f>15706.11*1.00086495709038</f>
        <v>15719.695111206789</v>
      </c>
      <c r="BQ16" s="36">
        <f>9574.859*1.00052703362336</f>
        <v>9579.9052726319314</v>
      </c>
      <c r="BR16" s="36">
        <f>6318.609*1.00034770476585</f>
        <v>6320.806010462843</v>
      </c>
    </row>
    <row r="17" spans="1:70" x14ac:dyDescent="0.15">
      <c r="A17">
        <f>100040.5*1.00554808735629</f>
        <v>100595.53343316694</v>
      </c>
      <c r="B17">
        <f>134697.8*1.00749180221</f>
        <v>135706.92927572213</v>
      </c>
      <c r="C17">
        <f>14139.44*1.00077857760978</f>
        <v>14150.448651398827</v>
      </c>
      <c r="D17">
        <f>9141.525*1.00050316340164</f>
        <v>9146.1246808151755</v>
      </c>
      <c r="E17">
        <f>5831.109*1.00032086536632</f>
        <v>5832.9800009253377</v>
      </c>
      <c r="F17" s="36">
        <f>108922.8*1.00604516651099</f>
        <v>109581.25646284326</v>
      </c>
      <c r="G17" s="36">
        <f>140207.2*1.00780183233218</f>
        <v>141301.07306616445</v>
      </c>
      <c r="H17" s="36">
        <f>15085.28*1.0008307245043</f>
        <v>15097.811711750228</v>
      </c>
      <c r="I17" s="36">
        <f>9424.859*1.00051877067364</f>
        <v>9429.7483404523919</v>
      </c>
      <c r="J17" s="36">
        <f>5982.15*1.00032918072454</f>
        <v>5984.1192084713066</v>
      </c>
      <c r="K17">
        <f>119216.5*1.00662215664668</f>
        <v>120005.97033786893</v>
      </c>
      <c r="L17">
        <f>139280.1*1.0077496416156</f>
        <v>140359.47085918492</v>
      </c>
      <c r="M17">
        <f>16221.73*1.00089339106481</f>
        <v>16236.222348637759</v>
      </c>
      <c r="N17">
        <f>9350.9*1.00051469661902</f>
        <v>9355.7128766147925</v>
      </c>
      <c r="O17">
        <f>6267.567*1.00034489453816</f>
        <v>6269.7286496258512</v>
      </c>
      <c r="P17" s="36">
        <f>79031.11*1.00437527241105</f>
        <v>79376.892635197655</v>
      </c>
      <c r="Q17" s="36">
        <f>135087.4*1.00751371672404</f>
        <v>136102.40845658709</v>
      </c>
      <c r="R17" s="36">
        <f>11406.11*1.0006279270348</f>
        <v>11413.272204830902</v>
      </c>
      <c r="S17" s="36">
        <f>8887.359*1.0004891634518</f>
        <v>8891.7063712058261</v>
      </c>
      <c r="T17" s="36">
        <f>5658.192*1.00031134590909</f>
        <v>5659.9536549320455</v>
      </c>
      <c r="U17">
        <f>83183.19*1.00460672964579</f>
        <v>83566.392467404381</v>
      </c>
      <c r="V17">
        <f>135243.6*1.00752250318173</f>
        <v>136260.97041130863</v>
      </c>
      <c r="W17">
        <f>11971.73*1.00065909623707</f>
        <v>11979.620522194218</v>
      </c>
      <c r="X17">
        <f>8996.734*1.00049518796413</f>
        <v>9001.18907439328</v>
      </c>
      <c r="Y17">
        <f>5594.65*1.00030784785197</f>
        <v>5596.3723009850237</v>
      </c>
      <c r="Z17" s="36">
        <f>89310.28*1.00494857650179</f>
        <v>89752.238752976293</v>
      </c>
      <c r="AA17" s="36">
        <f>138361.3*1.00769792616197</f>
        <v>139426.39507107419</v>
      </c>
      <c r="AB17" s="36">
        <f>13583.19*1.0007479137458</f>
        <v>13593.349054512813</v>
      </c>
      <c r="AC17" s="36">
        <f>9392.567*1.00051699185261</f>
        <v>9397.4228806140927</v>
      </c>
      <c r="AD17" s="36">
        <f>6124.859*1.00033703756631</f>
        <v>6126.9233075713528</v>
      </c>
      <c r="AE17">
        <f>103326.9*1.00573191774837</f>
        <v>103919.16129199404</v>
      </c>
      <c r="AF17">
        <f>137558.2*1.00765272951872</f>
        <v>138610.89569768202</v>
      </c>
      <c r="AG17">
        <f>15133.19*1.00083336613812</f>
        <v>15145.801488107736</v>
      </c>
      <c r="AH17">
        <f>9471.734*1.00052135282343</f>
        <v>9476.6721152636783</v>
      </c>
      <c r="AI17">
        <f>6151.942*1.00033852864135</f>
        <v>6154.0246085669241</v>
      </c>
      <c r="AJ17" s="36">
        <f>98017.57*1.00543498151083</f>
        <v>98550.293680686504</v>
      </c>
      <c r="AK17" s="36">
        <f>137575.9*1.00765372556881</f>
        <v>138628.86818348206</v>
      </c>
      <c r="AL17" s="36">
        <f>13576.94*1.00074756922401</f>
        <v>13587.08970250023</v>
      </c>
      <c r="AM17" s="36">
        <f>9317.567*1.00051286047657</f>
        <v>9322.3456118520935</v>
      </c>
      <c r="AN17" s="36">
        <f>6189.442*1.00034059324322</f>
        <v>6191.5500821245032</v>
      </c>
      <c r="AO17">
        <f>92605.07*1.00513254627727</f>
        <v>93080.369807284835</v>
      </c>
      <c r="AP17">
        <f>137219.7*1.00763368133382</f>
        <v>138267.1914625224</v>
      </c>
      <c r="AQ17">
        <f>13561.32*1.00074670819674</f>
        <v>13571.446348802614</v>
      </c>
      <c r="AR17">
        <f>9154.025*1.00050385194073</f>
        <v>9158.6372732617419</v>
      </c>
      <c r="AS17">
        <f>5977.984*1.00032895136826</f>
        <v>5979.9504660162374</v>
      </c>
      <c r="AT17" s="36">
        <f>90549.86*1.00501777852576</f>
        <v>91004.219143018563</v>
      </c>
      <c r="AU17" s="36">
        <f>137373.8*1.00764235276616</f>
        <v>138423.65904042788</v>
      </c>
      <c r="AV17" s="36">
        <f>13036.32*1.00071776971238</f>
        <v>13045.677075656893</v>
      </c>
      <c r="AW17" s="36">
        <f>9033.192*1.00049719614074</f>
        <v>9037.6832682009626</v>
      </c>
      <c r="AX17" s="36">
        <f>6018.609*1.00033118795661</f>
        <v>6020.6022908163441</v>
      </c>
      <c r="AY17">
        <f>108881.1*1.00604283113286</f>
        <v>109539.05010086004</v>
      </c>
      <c r="AZ17">
        <f>144281.1*1.00803126724334</f>
        <v>145439.86007226308</v>
      </c>
      <c r="BA17">
        <f>15398.82*1.00084801267078</f>
        <v>15411.878394475059</v>
      </c>
      <c r="BB17">
        <f>9442.567*1.00051974613174</f>
        <v>9447.4747376719461</v>
      </c>
      <c r="BC17">
        <f>6161.317*1.00033904479062</f>
        <v>6163.4059624322081</v>
      </c>
      <c r="BD17" s="36">
        <f>94470.69*1.00523676098453</f>
        <v>94965.410423573645</v>
      </c>
      <c r="BE17" s="36">
        <f>144528*1.00804517726764</f>
        <v>145690.75338013747</v>
      </c>
      <c r="BF17" s="36">
        <f>14270.69*1.00078581331465</f>
        <v>14281.904098211244</v>
      </c>
      <c r="BG17" s="36">
        <f>9190.484*1.0005058602246</f>
        <v>9195.1331003004234</v>
      </c>
      <c r="BH17" s="36">
        <f>5888.4*1.00032401942052</f>
        <v>5890.30795595579</v>
      </c>
      <c r="BI17">
        <f>96383.19*1.0053436281483</f>
        <v>96898.225927106934</v>
      </c>
      <c r="BJ17">
        <f>142816.5*1.0079487654539</f>
        <v>143951.71486144693</v>
      </c>
      <c r="BK17">
        <f>13906.11*1.00076571470581</f>
        <v>13916.758112927611</v>
      </c>
      <c r="BL17">
        <f>9142.567*1.0005032207982</f>
        <v>9147.1677298633367</v>
      </c>
      <c r="BM17">
        <f>6077.984*1.00033445684349</f>
        <v>6080.0168233434233</v>
      </c>
      <c r="BN17" s="36">
        <f>109015.5*1.00605035816533</f>
        <v>109675.08282057253</v>
      </c>
      <c r="BO17" s="36">
        <f>145046.7*1.0080744020301</f>
        <v>146217.86536893932</v>
      </c>
      <c r="BP17" s="36">
        <f>15230.07*1.00083870791537</f>
        <v>15242.843580260638</v>
      </c>
      <c r="BQ17" s="36">
        <f>9469.65*1.00052123802407</f>
        <v>9474.5859416546336</v>
      </c>
      <c r="BR17" s="36">
        <f>6237.359*1.00034323138256</f>
        <v>6239.4998573530929</v>
      </c>
    </row>
    <row r="18" spans="1:70" x14ac:dyDescent="0.15">
      <c r="A18">
        <f>98907.15*1.00548471490262</f>
        <v>99449.627519580667</v>
      </c>
      <c r="B18">
        <f>133975.9*1.00745120002347</f>
        <v>134974.18122922443</v>
      </c>
      <c r="C18">
        <f>14040.48*1.00077312212993</f>
        <v>14051.335005802841</v>
      </c>
      <c r="D18">
        <f>9272.775*1.00051039313304</f>
        <v>9277.5077606842242</v>
      </c>
      <c r="E18">
        <f>5890.484*1.000324134152</f>
        <v>5892.39330703621</v>
      </c>
      <c r="F18" s="36">
        <f>105414.4*1.00584873808952</f>
        <v>106030.94121646389</v>
      </c>
      <c r="G18" s="36">
        <f>138995.7*1.00773363306249</f>
        <v>140070.64174106394</v>
      </c>
      <c r="H18" s="36">
        <f>14549.86*1.00080120424991</f>
        <v>14561.517409667595</v>
      </c>
      <c r="I18" s="36">
        <f>9400.9*1.00051745087919</f>
        <v>9405.7645039701783</v>
      </c>
      <c r="J18" s="36">
        <f>6033.192*1.00033199081979</f>
        <v>6035.194964358031</v>
      </c>
      <c r="K18">
        <f>118758.2*1.00659644651292</f>
        <v>119541.58211427066</v>
      </c>
      <c r="L18">
        <f>139829*1.00778054073582</f>
        <v>140916.94523054897</v>
      </c>
      <c r="M18">
        <f>15397.78*1.00084795532512</f>
        <v>15410.836629546026</v>
      </c>
      <c r="N18">
        <f>9222.775*1.00050763893117</f>
        <v>9227.4568396434206</v>
      </c>
      <c r="O18">
        <f>6218.609*1.00034219907186</f>
        <v>6220.7370022280602</v>
      </c>
      <c r="P18" s="36">
        <f>80135.28*1.00443680860654</f>
        <v>80490.824899991494</v>
      </c>
      <c r="Q18" s="36">
        <f>135076.9*1.00751312609334</f>
        <v>136091.7497819975</v>
      </c>
      <c r="R18" s="36">
        <f>11708.19*1.00064457317107</f>
        <v>11715.73678515579</v>
      </c>
      <c r="S18" s="36">
        <f>8882.15*1.00048887653625</f>
        <v>8886.4922747264536</v>
      </c>
      <c r="T18" s="36">
        <f>5790.484*1.00031862884722</f>
        <v>5792.3290152417658</v>
      </c>
      <c r="U18">
        <f>82589.44*1.00457362129911</f>
        <v>82967.172821865577</v>
      </c>
      <c r="V18">
        <f>134270.7*1.0074677800145</f>
        <v>135273.40404999294</v>
      </c>
      <c r="W18">
        <f>12200.9*1.00067172576781</f>
        <v>12209.095658920472</v>
      </c>
      <c r="X18">
        <f>8963.4*1.00049335187403</f>
        <v>8967.8221101876807</v>
      </c>
      <c r="Y18">
        <f>5548.817*1.0003053247176</f>
        <v>5550.5111909835387</v>
      </c>
      <c r="Z18" s="36">
        <f>88598.82*1.00490886429573</f>
        <v>89033.739584141818</v>
      </c>
      <c r="AA18" s="36">
        <f>137247.8*1.00763526254519</f>
        <v>138295.72298674972</v>
      </c>
      <c r="AB18" s="36">
        <f>13750.9*1.00075715863837</f>
        <v>13761.311612720359</v>
      </c>
      <c r="AC18" s="36">
        <f>9464.442*1.00052095113601</f>
        <v>9469.3725118115999</v>
      </c>
      <c r="AD18" s="36">
        <f>6316.525*1.00034759002626</f>
        <v>6318.7205610906212</v>
      </c>
      <c r="AE18">
        <f>103831.1*1.00576012997311</f>
        <v>104429.18063125099</v>
      </c>
      <c r="AF18">
        <f>137098.8*1.00762687827112</f>
        <v>138144.43585871661</v>
      </c>
      <c r="AG18">
        <f>14271.73*1.00078587064963</f>
        <v>14282.945733726443</v>
      </c>
      <c r="AH18">
        <f>9259.234*1.00050964723784</f>
        <v>9263.9529430326147</v>
      </c>
      <c r="AI18">
        <f>5996.734*1.00032998363794</f>
        <v>5998.7128241010787</v>
      </c>
      <c r="AJ18" s="36">
        <f>96011.32*1.00532284602766</f>
        <v>96522.373473272397</v>
      </c>
      <c r="AK18" s="36">
        <f>137225.9*1.00763403021256</f>
        <v>138273.48666654571</v>
      </c>
      <c r="AL18" s="36">
        <f>13708.19*1.00075480425615</f>
        <v>13718.537000156113</v>
      </c>
      <c r="AM18" s="36">
        <f>9604.025*1.00052864029508</f>
        <v>9609.1020746099548</v>
      </c>
      <c r="AN18" s="36">
        <f>6151.942*1.00033852864135</f>
        <v>6154.0246085669241</v>
      </c>
      <c r="AO18">
        <f>94613.4*1.00524473419183</f>
        <v>95109.622133985278</v>
      </c>
      <c r="AP18">
        <f>137841.5*1.00766867230314</f>
        <v>138898.56129327329</v>
      </c>
      <c r="AQ18">
        <f>14091.53*1.00077593640988</f>
        <v>14102.464131197918</v>
      </c>
      <c r="AR18">
        <f>9502.984*1.00052307426774</f>
        <v>9507.9547663971462</v>
      </c>
      <c r="AS18">
        <f>6076.942*1.00033439947597</f>
        <v>6078.9741262202997</v>
      </c>
      <c r="AT18" s="36">
        <f>91379.03*1.00506407658662</f>
        <v>91841.780406331032</v>
      </c>
      <c r="AU18" s="36">
        <f>137713.4*1.00766146334692</f>
        <v>138768.48616647974</v>
      </c>
      <c r="AV18" s="36">
        <f>13571.73*1.00074728203093</f>
        <v>13581.871909957634</v>
      </c>
      <c r="AW18" s="36">
        <f>9418.609*1.00051842638851</f>
        <v>9423.4918554486594</v>
      </c>
      <c r="AX18" s="36">
        <f>5902.984*1.00032482232149</f>
        <v>5904.9014209665984</v>
      </c>
      <c r="AY18">
        <f>107657.2*1.00597429476127</f>
        <v>108300.37584597299</v>
      </c>
      <c r="AZ18">
        <f>142718.6*1.00794325141266</f>
        <v>143852.24972106286</v>
      </c>
      <c r="BA18">
        <f>15519.65*1.00085467531083</f>
        <v>15532.914261687723</v>
      </c>
      <c r="BB18">
        <f>9509.234*1.00052341855766</f>
        <v>9514.2113095447312</v>
      </c>
      <c r="BC18">
        <f>6168.609*1.00033944625895</f>
        <v>6170.7029112479768</v>
      </c>
      <c r="BD18" s="36">
        <f>94385.28*1.00523198921896</f>
        <v>94879.102767388526</v>
      </c>
      <c r="BE18" s="36">
        <f>144254*1.00802974049981</f>
        <v>145412.32218605958</v>
      </c>
      <c r="BF18" s="36">
        <f>13215.48*1.00072764489463</f>
        <v>13225.096176552086</v>
      </c>
      <c r="BG18" s="36">
        <f>9224.859*1.00050775372585</f>
        <v>9229.5429565276918</v>
      </c>
      <c r="BH18" s="36">
        <f>6016.525*1.0003310732227</f>
        <v>6018.5169103212047</v>
      </c>
      <c r="BI18">
        <f>96367.57*1.00534275519166</f>
        <v>96882.438334925173</v>
      </c>
      <c r="BJ18">
        <f>143458.2*1.00798491029723</f>
        <v>144603.7008584021</v>
      </c>
      <c r="BK18">
        <f>13707.15*1.00075474692652</f>
        <v>13717.495429333847</v>
      </c>
      <c r="BL18">
        <f>9391.525*1.00051693445367</f>
        <v>9396.3798028450019</v>
      </c>
      <c r="BM18">
        <f>6005.067*1.00033044240714</f>
        <v>6007.0513287945168</v>
      </c>
      <c r="BN18" s="36">
        <f>111236.3*1.00617475792779</f>
        <v>111923.15722528302</v>
      </c>
      <c r="BO18" s="36">
        <f>146588.4*1.00816128003204</f>
        <v>147784.74898184871</v>
      </c>
      <c r="BP18" s="36">
        <f>15686.32*1.00086386581492</f>
        <v>15699.870875609897</v>
      </c>
      <c r="BQ18" s="36">
        <f>9774.859*1.00053805120817</f>
        <v>9780.1183746946426</v>
      </c>
      <c r="BR18" s="36">
        <f>6344.65*1.00034913851855</f>
        <v>6346.8651617017176</v>
      </c>
    </row>
    <row r="19" spans="1:70" x14ac:dyDescent="0.15">
      <c r="A19">
        <f>98590.48*1.0054670101127</f>
        <v>99129.475151175939</v>
      </c>
      <c r="B19">
        <f>134025.9*1.00745401204016</f>
        <v>135024.93067229327</v>
      </c>
      <c r="C19">
        <f>13676.94*1.00075308161522</f>
        <v>13687.239852066466</v>
      </c>
      <c r="D19">
        <f>9321.734*1.00051309001448</f>
        <v>9326.5168886330393</v>
      </c>
      <c r="E19">
        <f>5859.234*1.00032241373449</f>
        <v>5861.1230975151911</v>
      </c>
      <c r="F19" s="36">
        <f>106446.7*1.00590652256906</f>
        <v>107075.42983595196</v>
      </c>
      <c r="G19" s="36">
        <f>140198.8*1.00780135942111</f>
        <v>141292.54122920829</v>
      </c>
      <c r="H19" s="36">
        <f>14616.53*1.00080487994209</f>
        <v>14628.294551819959</v>
      </c>
      <c r="I19" s="36">
        <f>9311.317*1.00051251619754</f>
        <v>9316.0892007829279</v>
      </c>
      <c r="J19" s="36">
        <f>6022.775*1.00033141731443</f>
        <v>6024.7710519159155</v>
      </c>
      <c r="K19">
        <f>122691.5*1.00681716463708</f>
        <v>123527.90815507031</v>
      </c>
      <c r="L19">
        <f>139800.9*1.00777895883883</f>
        <v>140888.40544673137</v>
      </c>
      <c r="M19">
        <f>15686.32*1.00086386581492</f>
        <v>15699.870875609897</v>
      </c>
      <c r="N19">
        <f>9354.025*1.00051486875961</f>
        <v>9358.8410952491104</v>
      </c>
      <c r="O19">
        <f>6256.109*1.00034426369645</f>
        <v>6258.2627512097342</v>
      </c>
      <c r="P19" s="36">
        <f>79580.07*1.00440586493456</f>
        <v>79930.689039902834</v>
      </c>
      <c r="Q19" s="36">
        <f>135053*1.00751178170926</f>
        <v>136067.4886551807</v>
      </c>
      <c r="R19" s="36">
        <f>11381.11*1.00062654944555</f>
        <v>11388.240828160244</v>
      </c>
      <c r="S19" s="36">
        <f>8922.775*1.00049111419763</f>
        <v>8927.1571014847577</v>
      </c>
      <c r="T19" s="36">
        <f>5522.775*1.00030389109826</f>
        <v>5524.4533221601923</v>
      </c>
      <c r="U19">
        <f>82985.28*1.00459569353773</f>
        <v>83366.654915022722</v>
      </c>
      <c r="V19">
        <f>135079*1.0075132442194</f>
        <v>136093.88151591233</v>
      </c>
      <c r="W19">
        <f>11452.98*1.00063050975446</f>
        <v>11460.201215607636</v>
      </c>
      <c r="X19">
        <f>8632.15*1.00047510664292</f>
        <v>8636.2511918076816</v>
      </c>
      <c r="Y19">
        <f>5758.192*1.00031685109362</f>
        <v>5760.0164894324744</v>
      </c>
      <c r="Z19" s="36">
        <f>88722.78*1.00491578314393</f>
        <v>89158.921946406597</v>
      </c>
      <c r="AA19" s="36">
        <f>137624.9*1.00765648301106</f>
        <v>138678.62270874882</v>
      </c>
      <c r="AB19" s="36">
        <f>14109.23*1.00077691217948</f>
        <v>14120.191632630085</v>
      </c>
      <c r="AC19" s="36">
        <f>9343.609*1.0005142949947</f>
        <v>9348.414371341134</v>
      </c>
      <c r="AD19" s="36">
        <f>6069.65*1.00033399801371</f>
        <v>6071.677251043915</v>
      </c>
      <c r="AE19">
        <f>104823.8*1.00581568289006</f>
        <v>105433.42198013107</v>
      </c>
      <c r="AF19">
        <f>137892.6*1.00767154805026</f>
        <v>138950.44970667528</v>
      </c>
      <c r="AG19">
        <f>14319.65*1.00078851247951</f>
        <v>14330.941222727215</v>
      </c>
      <c r="AH19">
        <f>9326.942*1.00051337689577</f>
        <v>9331.7302365309843</v>
      </c>
      <c r="AI19">
        <f>6134.234*1.00033755371326</f>
        <v>6136.3046334647061</v>
      </c>
      <c r="AJ19" s="36">
        <f>97944.65*1.00543090512949</f>
        <v>98476.578102091109</v>
      </c>
      <c r="AK19" s="36">
        <f>138486.3*1.00770496142621</f>
        <v>139553.33159955853</v>
      </c>
      <c r="AL19" s="36">
        <f>13775.9*1.00075853676725</f>
        <v>13786.349526651959</v>
      </c>
      <c r="AM19" s="36">
        <f>9365.484*1.00051549997927</f>
        <v>9370.311906807854</v>
      </c>
      <c r="AN19" s="36">
        <f>6041.525*1.00033244959175</f>
        <v>6043.5335025197974</v>
      </c>
      <c r="AO19">
        <f>94551.94*1.0052413003985</f>
        <v>95047.515120800948</v>
      </c>
      <c r="AP19">
        <f>137071.7*1.00762535336865</f>
        <v>138116.92014934157</v>
      </c>
      <c r="AQ19">
        <f>14057.15*1.00077404110962</f>
        <v>14068.030811984094</v>
      </c>
      <c r="AR19">
        <f>9180.067*1.00050528642011</f>
        <v>9184.7055631907988</v>
      </c>
      <c r="AS19">
        <f>5988.4*1.00032952481432</f>
        <v>5990.3733263980739</v>
      </c>
      <c r="AT19" s="36">
        <f>91787.36*1.0050868787141</f>
        <v>92254.271167807441</v>
      </c>
      <c r="AU19" s="36">
        <f>137271.7*1.00763660742478</f>
        <v>138319.99008343217</v>
      </c>
      <c r="AV19" s="36">
        <f>13419.65*1.00073889896825</f>
        <v>13429.565765539275</v>
      </c>
      <c r="AW19" s="36">
        <f>8999.859*1.00049536009465</f>
        <v>9004.3171710060778</v>
      </c>
      <c r="AX19" s="36">
        <f>6038.4*1.00033227754531</f>
        <v>6040.4064247296001</v>
      </c>
      <c r="AY19">
        <f>109069.7*1.00605339366829</f>
        <v>109729.9418313823</v>
      </c>
      <c r="AZ19">
        <f>142431.1*1.0079270590171</f>
        <v>143560.15973557046</v>
      </c>
      <c r="BA19">
        <f>15512.36*1.000854273332</f>
        <v>15525.611795464385</v>
      </c>
      <c r="BB19">
        <f>9583.192*1.00052749266376</f>
        <v>9588.2470634754027</v>
      </c>
      <c r="BC19">
        <f>6106.109*1.00033600527478</f>
        <v>6108.1606848323827</v>
      </c>
      <c r="BD19" s="36">
        <f>94148.82*1.00521877880613</f>
        <v>94640.161866438153</v>
      </c>
      <c r="BE19" s="36">
        <f>144254*1.00802974049981</f>
        <v>145412.32218605958</v>
      </c>
      <c r="BF19" s="36">
        <f>14114.44*1.00077719939808</f>
        <v>14125.409734272238</v>
      </c>
      <c r="BG19" s="36">
        <f>9301.942*1.00051199977967</f>
        <v>9306.704592254504</v>
      </c>
      <c r="BH19" s="36">
        <f>5860.275*1.0003224710449</f>
        <v>5862.1647690026502</v>
      </c>
      <c r="BI19">
        <f>97484.23*1.00540516783</f>
        <v>98011.148623928311</v>
      </c>
      <c r="BJ19">
        <f>144091.5*1.00802058581821</f>
        <v>145247.19824142463</v>
      </c>
      <c r="BK19">
        <f>13969.65*1.0007692174592</f>
        <v>13980.395698678913</v>
      </c>
      <c r="BL19">
        <f>9480.067*1.00052181185601</f>
        <v>9485.013811356368</v>
      </c>
      <c r="BM19">
        <f>6122.775*1.00033692283039</f>
        <v>6124.8379026828406</v>
      </c>
      <c r="BN19" s="36">
        <f>109593.6*1.00608273641579</f>
        <v>110260.22898165754</v>
      </c>
      <c r="BO19" s="36">
        <f>146049.9*1.00813093187801</f>
        <v>147237.42178769017</v>
      </c>
      <c r="BP19" s="36">
        <f>15567.57*1.00085731768578</f>
        <v>15580.916353085619</v>
      </c>
      <c r="BQ19" s="36">
        <f>9650.9*1.0005312225213</f>
        <v>9656.0267754308134</v>
      </c>
      <c r="BR19" s="36">
        <f>6322.775*1.00034793413504</f>
        <v>6324.9749092506781</v>
      </c>
    </row>
    <row r="20" spans="1:70" x14ac:dyDescent="0.15">
      <c r="A20">
        <f>100687.4*1.0055842648295</f>
        <v>101249.66510659379</v>
      </c>
      <c r="B20">
        <f>134832.2*1.00749936188042</f>
        <v>135843.35546093318</v>
      </c>
      <c r="C20">
        <f>14046.73*1.00077346667811</f>
        <v>14057.594677591409</v>
      </c>
      <c r="D20">
        <f>9018.609*1.00049639287966</f>
        <v>9023.0857732920376</v>
      </c>
      <c r="E20">
        <f>5870.692*1.00032304453486</f>
        <v>5872.5884949664469</v>
      </c>
      <c r="F20" s="36">
        <f>109681.1*1.00608763739258</f>
        <v>110348.79876561931</v>
      </c>
      <c r="G20" s="36">
        <f>140283.2*1.00780611108167</f>
        <v>141378.26624209216</v>
      </c>
      <c r="H20" s="36">
        <f>15229.03*1.00083865057131</f>
        <v>15241.801834709999</v>
      </c>
      <c r="I20" s="36">
        <f>9464.442*1.00052095113601</f>
        <v>9469.3725118115999</v>
      </c>
      <c r="J20" s="36">
        <f>6220.692*1.00034231375454</f>
        <v>6222.8214284343567</v>
      </c>
      <c r="K20">
        <f>120382.2*1.00668756005174</f>
        <v>121187.26319166058</v>
      </c>
      <c r="L20">
        <f>140122.8*1.00779708073229</f>
        <v>141215.34878403452</v>
      </c>
      <c r="M20">
        <f>15631.11*1.00086082140138</f>
        <v>15644.565594015326</v>
      </c>
      <c r="N20">
        <f>9318.609*1.0005129178748</f>
        <v>9323.3886811243719</v>
      </c>
      <c r="O20">
        <f>6248.817*1.00034386222232</f>
        <v>6250.9657321004906</v>
      </c>
      <c r="P20" s="36">
        <f>80311.32*1.00444662049039</f>
        <v>80668.433961122268</v>
      </c>
      <c r="Q20" s="36">
        <f>135650.9*1.00754541543204</f>
        <v>136674.44239423011</v>
      </c>
      <c r="R20" s="36">
        <f>11531.11*1.00063481506642</f>
        <v>11538.430122360545</v>
      </c>
      <c r="S20" s="36">
        <f>8717.567*1.00047981131089</f>
        <v>8721.7497872500389</v>
      </c>
      <c r="T20" s="36">
        <f>5700.9*1.00031369705218</f>
        <v>5702.6883555247723</v>
      </c>
      <c r="U20">
        <f>85134.23*1.00471554550776</f>
        <v>85535.68433583311</v>
      </c>
      <c r="V20">
        <f>134875.9*1.00750181993501</f>
        <v>135887.71471537242</v>
      </c>
      <c r="W20">
        <f>12577.98*1.00069250764164</f>
        <v>12586.690347266394</v>
      </c>
      <c r="X20">
        <f>8760.275*1.00048216364222</f>
        <v>8764.4988861008496</v>
      </c>
      <c r="Y20">
        <f>5792.567*1.00031874352179</f>
        <v>5794.4133432057843</v>
      </c>
      <c r="Z20" s="36">
        <f>88480.07*1.00490223637879</f>
        <v>88913.820217951899</v>
      </c>
      <c r="AA20" s="36">
        <f>138824.9*1.00772401929192</f>
        <v>139897.18620579885</v>
      </c>
      <c r="AB20" s="36">
        <f>14266.53*1.00078558397485</f>
        <v>14277.737557344719</v>
      </c>
      <c r="AC20" s="36">
        <f>9516.525*1.00052382019297</f>
        <v>9521.5099479619039</v>
      </c>
      <c r="AD20" s="36">
        <f>6080.067*1.00033457152351</f>
        <v>6082.1012172792325</v>
      </c>
      <c r="AE20">
        <f>105854*1.00587334411311</f>
        <v>106475.71696774915</v>
      </c>
      <c r="AF20">
        <f>136443.6*1.00759001246256</f>
        <v>137479.20862443658</v>
      </c>
      <c r="AG20">
        <f>14860.28*1.0008183188645</f>
        <v>14872.44044745575</v>
      </c>
      <c r="AH20">
        <f>9420.692*1.00051854113182</f>
        <v>9425.5770162922072</v>
      </c>
      <c r="AI20">
        <f>6058.192*1.00033336719262</f>
        <v>6060.2116024593934</v>
      </c>
      <c r="AJ20" s="36">
        <f>98031.11*1.00543573843077</f>
        <v>98563.981472038038</v>
      </c>
      <c r="AK20" s="36">
        <f>138081.1*1.00768215645023</f>
        <v>139141.86061301988</v>
      </c>
      <c r="AL20" s="36">
        <f>13449.86*1.00074056420874</f>
        <v>13459.820484928563</v>
      </c>
      <c r="AM20" s="36">
        <f>9482.15*1.00052192660049</f>
        <v>9487.098986314837</v>
      </c>
      <c r="AN20" s="36">
        <f>6126.942*1.00033715224721</f>
        <v>6129.0077122638249</v>
      </c>
      <c r="AO20">
        <f>92594.65*1.00513196430068</f>
        <v>93069.842438233944</v>
      </c>
      <c r="AP20">
        <f>136687.4*1.00760372976062</f>
        <v>137726.73405128176</v>
      </c>
      <c r="AQ20">
        <f>14334.23*1.00078931627914</f>
        <v>14345.544241087935</v>
      </c>
      <c r="AR20">
        <f>9313.4*1.00051263093882</f>
        <v>9318.1743369856049</v>
      </c>
      <c r="AS20">
        <f>6072.775*1.00033417006104</f>
        <v>6074.8043395924315</v>
      </c>
      <c r="AT20" s="36">
        <f>88941.53*1.00492799306103</f>
        <v>89379.833242677385</v>
      </c>
      <c r="AU20" s="36">
        <f>135857.2*1.00755702122804</f>
        <v>136883.87574438209</v>
      </c>
      <c r="AV20" s="36">
        <f>14146.73*1.00077897949738</f>
        <v>14157.750012624971</v>
      </c>
      <c r="AW20" s="36">
        <f>9085.275*1.00050006499331</f>
        <v>9089.818227982094</v>
      </c>
      <c r="AX20" s="36">
        <f>6086.317*1.00033491561885</f>
        <v>6088.355402624572</v>
      </c>
      <c r="AY20">
        <f>111385.3*1.00618310592868</f>
        <v>112074.00710879781</v>
      </c>
      <c r="AZ20">
        <f>143259.2*1.00797370086699</f>
        <v>144401.50600724432</v>
      </c>
      <c r="BA20">
        <f>15900.9*1.00087569854141</f>
        <v>15914.824394937106</v>
      </c>
      <c r="BB20">
        <f>9696.734*1.00053374742078</f>
        <v>9701.9096067624905</v>
      </c>
      <c r="BC20">
        <f>6086.317*1.00033491561885</f>
        <v>6088.355402624572</v>
      </c>
      <c r="BD20" s="36">
        <f>93600.9*1.00518816992791</f>
        <v>94086.517374605304</v>
      </c>
      <c r="BE20" s="36">
        <f>144603*1.00804940278422</f>
        <v>145766.96779080655</v>
      </c>
      <c r="BF20" s="36">
        <f>14286.32*1.0007866749942</f>
        <v>14297.558690703139</v>
      </c>
      <c r="BG20" s="36">
        <f>9286.317*1.00051113908499</f>
        <v>9291.063599574305</v>
      </c>
      <c r="BH20" s="36">
        <f>5870.692*1.00032304453486</f>
        <v>5872.5884949664469</v>
      </c>
      <c r="BI20">
        <f>97521.73*1.0054072639914</f>
        <v>98049.055739008036</v>
      </c>
      <c r="BJ20">
        <f>143691.5*1.00799805228252</f>
        <v>144840.75212955373</v>
      </c>
      <c r="BK20">
        <f>13587.36*1.00074814361093</f>
        <v>13597.525296573407</v>
      </c>
      <c r="BL20">
        <f>9365.484*1.00051549997927</f>
        <v>9370.311906807854</v>
      </c>
      <c r="BM20">
        <f>6018.609*1.00033118795661</f>
        <v>6020.6022908163441</v>
      </c>
      <c r="BN20" s="36">
        <f>110592.6*1.00613869583562</f>
        <v>111271.4943330704</v>
      </c>
      <c r="BO20" s="36">
        <f>146115.5*1.00813462873923</f>
        <v>147304.09534554699</v>
      </c>
      <c r="BP20" s="36">
        <f>15211.32*1.00083767406968</f>
        <v>15224.062128329606</v>
      </c>
      <c r="BQ20" s="36">
        <f>9744.65*1.00053638703374</f>
        <v>9749.8769039083345</v>
      </c>
      <c r="BR20" s="36">
        <f>6350.9*1.00034948262892</f>
        <v>6353.1195292280081</v>
      </c>
    </row>
    <row r="21" spans="1:70" x14ac:dyDescent="0.15">
      <c r="A21">
        <f>102017.6*1.00565866771575</f>
        <v>102594.8836995583</v>
      </c>
      <c r="B21">
        <f>134748.8*1.00749467081486</f>
        <v>135758.6978986974</v>
      </c>
      <c r="C21">
        <f>14288.4*1.00078678966445</f>
        <v>14299.641965441528</v>
      </c>
      <c r="D21">
        <f>9270.692*1.00051027839254</f>
        <v>9275.4226338114913</v>
      </c>
      <c r="E21">
        <f>5945.692*1.00032717355961</f>
        <v>5947.6372732159844</v>
      </c>
      <c r="F21" s="36">
        <f>107807.2*1.00598269375813</f>
        <v>108452.17746252147</v>
      </c>
      <c r="G21" s="36">
        <f>139728*1.00777485494871</f>
        <v>140814.36493227334</v>
      </c>
      <c r="H21" s="36">
        <f>14701.94*1.00080958887887</f>
        <v>14713.842527121813</v>
      </c>
      <c r="I21" s="36">
        <f>9463.4*1.00052089373639</f>
        <v>9468.3294257849539</v>
      </c>
      <c r="J21" s="36">
        <f>6073.817*1.00033422742853</f>
        <v>6075.8470362372718</v>
      </c>
      <c r="K21">
        <f>118775.9*1.00659743942711</f>
        <v>119559.51680565046</v>
      </c>
      <c r="L21">
        <f>139834.2*1.00778083347202</f>
        <v>140922.22662389313</v>
      </c>
      <c r="M21">
        <f>16276.94*1.00089643577567</f>
        <v>16291.531231334435</v>
      </c>
      <c r="N21">
        <f>9241.525*1.0005086717542</f>
        <v>9246.2259027332329</v>
      </c>
      <c r="O21">
        <f>6239.442*1.00034334606559</f>
        <v>6241.584287862177</v>
      </c>
      <c r="P21" s="36">
        <f>79862.36*1.00442159752306</f>
        <v>80215.479213161714</v>
      </c>
      <c r="Q21" s="36">
        <f>135040.5*1.00751107858165</f>
        <v>136054.7998072053</v>
      </c>
      <c r="R21" s="36">
        <f>11489.44*1.00063251885639</f>
        <v>11496.707287449362</v>
      </c>
      <c r="S21" s="36">
        <f>8954.025*1.00049283548583</f>
        <v>8958.4378612610089</v>
      </c>
      <c r="T21" s="36">
        <f>5644.65*1.00031060040399</f>
        <v>5646.4032305703813</v>
      </c>
      <c r="U21">
        <f>84373.82*1.00467313075172</f>
        <v>84768.109892882101</v>
      </c>
      <c r="V21">
        <f>135250.9*1.00752291382207</f>
        <v>136268.38086505741</v>
      </c>
      <c r="W21">
        <f>13355.07*1.00073533920698</f>
        <v>13364.890506582962</v>
      </c>
      <c r="X21">
        <f>8792.567*1.00048394227746</f>
        <v>8796.8220948987</v>
      </c>
      <c r="Y21">
        <f>5836.317*1.00032115208228</f>
        <v>5838.1913453573952</v>
      </c>
      <c r="Z21" s="36">
        <f>90032.15*1.00498887459201</f>
        <v>90481.309105599023</v>
      </c>
      <c r="AA21" s="36">
        <f>139198.8*1.00774506525285</f>
        <v>140276.9037891184</v>
      </c>
      <c r="AB21" s="36">
        <f>13747.78*1.00075698664828</f>
        <v>13758.186885903491</v>
      </c>
      <c r="AC21" s="36">
        <f>9424.859*1.00051877067364</f>
        <v>9429.7483404523919</v>
      </c>
      <c r="AD21" s="36">
        <f>6112.359*1.0003363493716</f>
        <v>6114.4148881086439</v>
      </c>
      <c r="AE21">
        <f>105712.4*1.00586541804449</f>
        <v>106332.44741848634</v>
      </c>
      <c r="AF21">
        <f>138071.7*1.00768162742923</f>
        <v>139132.31535792042</v>
      </c>
      <c r="AG21">
        <f>14407.15*1.00079333640901</f>
        <v>14418.579716645068</v>
      </c>
      <c r="AH21">
        <f>9297.775*1.00051177024251</f>
        <v>9302.5333245665515</v>
      </c>
      <c r="AI21">
        <f>6044.65*1.00033262163828</f>
        <v>6046.6605813858287</v>
      </c>
      <c r="AJ21" s="36">
        <f>97007.15*1.00537850133145</f>
        <v>97528.903085435159</v>
      </c>
      <c r="AK21" s="36">
        <f>136957.2*1.00761891059164</f>
        <v>138000.66466168137</v>
      </c>
      <c r="AL21" s="36">
        <f>14392.57*1.00079253259968</f>
        <v>14403.976580918177</v>
      </c>
      <c r="AM21" s="36">
        <f>9537.359*1.00052496786673</f>
        <v>9542.3658070084693</v>
      </c>
      <c r="AN21" s="36">
        <f>6138.4*1.00033778307547</f>
        <v>6140.4734476304648</v>
      </c>
      <c r="AO21">
        <f>93372.78*1.00517542710985</f>
        <v>93856.024016934069</v>
      </c>
      <c r="AP21">
        <f>138313.4*1.00769523028785</f>
        <v>139377.7534648955</v>
      </c>
      <c r="AQ21">
        <f>13526.94*1.00074481306258</f>
        <v>13537.015041608736</v>
      </c>
      <c r="AR21">
        <f>9429.025*1.00051900016053</f>
        <v>9433.9186654886416</v>
      </c>
      <c r="AS21">
        <f>6106.109*1.00033600527478</f>
        <v>6108.1606848323827</v>
      </c>
      <c r="AT21" s="36">
        <f>89263.4*1.00494595961333</f>
        <v>89704.893171348522</v>
      </c>
      <c r="AU21" s="36">
        <f>137745.7*1.00766328104725</f>
        <v>138801.28401215019</v>
      </c>
      <c r="AV21" s="36">
        <f>14062.36*1.00077432832575</f>
        <v>14073.248883674894</v>
      </c>
      <c r="AW21" s="36">
        <f>9158.192*1.00050408147244</f>
        <v>9162.8084749082464</v>
      </c>
      <c r="AX21" s="36">
        <f>5989.442*1.000329582181</f>
        <v>5991.4160133573332</v>
      </c>
      <c r="AY21">
        <f>109865.5*1.00609796608607</f>
        <v>110535.45609302913</v>
      </c>
      <c r="AZ21">
        <f>144579*1.00804805061312</f>
        <v>145742.57910959428</v>
      </c>
      <c r="BA21">
        <f>14536.32*1.0008004577591</f>
        <v>14547.955710132761</v>
      </c>
      <c r="BB21">
        <f>9597.775*1.00052829599976</f>
        <v>9602.8454661390952</v>
      </c>
      <c r="BC21">
        <f>6199.859*1.00034116676435</f>
        <v>6201.9741858344569</v>
      </c>
      <c r="BD21" s="36">
        <f>91064.44*1.00504651018584</f>
        <v>91523.997624027805</v>
      </c>
      <c r="BE21" s="36">
        <f>143838.4*1.0080063275475</f>
        <v>144990.01734430832</v>
      </c>
      <c r="BF21" s="36">
        <f>13546.73*1.00074590394855</f>
        <v>13556.834559396941</v>
      </c>
      <c r="BG21" s="36">
        <f>9179.025*1.00050522902319</f>
        <v>9183.6625098345849</v>
      </c>
      <c r="BH21" s="36">
        <f>5958.192*1.00032786173538</f>
        <v>5960.1454631688466</v>
      </c>
      <c r="BI21">
        <f>95470.69*1.00529263498176</f>
        <v>95975.981513626757</v>
      </c>
      <c r="BJ21">
        <f>143821.7*1.0080053867821</f>
        <v>144973.04833615915</v>
      </c>
      <c r="BK21">
        <f>14351.94*1.0007902926392</f>
        <v>14363.282232540241</v>
      </c>
      <c r="BL21">
        <f>9313.4*1.00051263093882</f>
        <v>9318.1743369856049</v>
      </c>
      <c r="BM21">
        <f>6041.525*1.00033244959175</f>
        <v>6043.5335025197974</v>
      </c>
      <c r="BN21" s="36">
        <f>110148.8*1.0061138350306</f>
        <v>110822.23159201856</v>
      </c>
      <c r="BO21" s="36">
        <f>145597.8*1.00810545507572</f>
        <v>146777.93642702367</v>
      </c>
      <c r="BP21" s="36">
        <f>15001.94*1.00082612940151</f>
        <v>15014.333543713688</v>
      </c>
      <c r="BQ21" s="36">
        <f>9622.775*1.00052967318317</f>
        <v>9627.8719258651799</v>
      </c>
      <c r="BR21" s="36">
        <f>6436.317*1.00035418552464</f>
        <v>6438.596650313395</v>
      </c>
    </row>
    <row r="22" spans="1:70" x14ac:dyDescent="0.15">
      <c r="A22">
        <f>99908.19*1.00554068848505</f>
        <v>100461.75015789519</v>
      </c>
      <c r="B22">
        <f>134801.9*1.00749765756483</f>
        <v>135812.59848528844</v>
      </c>
      <c r="C22">
        <f>14519.65*1.00079953870661</f>
        <v>14531.25902218143</v>
      </c>
      <c r="D22">
        <f>9286.317*1.00051113908499</f>
        <v>9291.063599574305</v>
      </c>
      <c r="E22">
        <f>5986.317*1.00032941013604</f>
        <v>5988.2889534973492</v>
      </c>
      <c r="F22" s="36">
        <f>106897.8*1.00593177667409</f>
        <v>107531.89387655155</v>
      </c>
      <c r="G22" s="36">
        <f>139341.5*1.00775309785227</f>
        <v>140421.82828438206</v>
      </c>
      <c r="H22" s="36">
        <f>15167.57*1.00083526177554</f>
        <v>15180.238891448827</v>
      </c>
      <c r="I22" s="36">
        <f>9592.567*1.00052800910563</f>
        <v>9597.6319627223638</v>
      </c>
      <c r="J22" s="36">
        <f>6077.984*1.00033445684349</f>
        <v>6080.0168233434233</v>
      </c>
      <c r="K22">
        <f>119772.8*1.00665336712687</f>
        <v>120569.69241021319</v>
      </c>
      <c r="L22">
        <f>140159.2*1.00779912999223</f>
        <v>141252.31982040696</v>
      </c>
      <c r="M22">
        <f>15834.23*1.00087202206867</f>
        <v>15848.037798000396</v>
      </c>
      <c r="N22">
        <f>9126.942*1.00050236012619</f>
        <v>9131.5270117348482</v>
      </c>
      <c r="O22">
        <f>6417.567*1.00035315318002</f>
        <v>6419.8333841940421</v>
      </c>
      <c r="P22" s="36">
        <f>79749.86*1.00441532758345</f>
        <v>80101.981756634268</v>
      </c>
      <c r="Q22" s="36">
        <f>135069.7*1.00751272109004</f>
        <v>136084.44098381541</v>
      </c>
      <c r="R22" s="36">
        <f>11239.44*1.00061874303028</f>
        <v>11246.39432516425</v>
      </c>
      <c r="S22" s="36">
        <f>8902.984*1.00049002408975</f>
        <v>8907.3466766306592</v>
      </c>
      <c r="T22" s="36">
        <f>5693.609*1.0003132956699</f>
        <v>5695.3927830458033</v>
      </c>
      <c r="U22">
        <f>83866.53*1.0046448377165</f>
        <v>84256.07642169598</v>
      </c>
      <c r="V22">
        <f>135570.7*1.00754090373813</f>
        <v>136593.02559841092</v>
      </c>
      <c r="W22">
        <f>12516.53*1.00068912088166</f>
        <v>12525.155402188924</v>
      </c>
      <c r="X22">
        <f>8962.359*1.00049329453424</f>
        <v>8966.7800827085975</v>
      </c>
      <c r="Y22">
        <f>5812.359*1.00031983312487</f>
        <v>5814.2179849418362</v>
      </c>
      <c r="Z22" s="36">
        <f>89860.28*1.0049792795809</f>
        <v>90307.719457337967</v>
      </c>
      <c r="AA22" s="36">
        <f>138288.4*1.00769382326405</f>
        <v>139352.36650906823</v>
      </c>
      <c r="AB22" s="36">
        <f>13570.69*1.00074722470259</f>
        <v>13580.830354799191</v>
      </c>
      <c r="AC22" s="36">
        <f>9526.942*1.00052439402936</f>
        <v>9531.9378715028579</v>
      </c>
      <c r="AD22" s="36">
        <f>6308.192*1.00034713123347</f>
        <v>6310.381770469925</v>
      </c>
      <c r="AE22">
        <f>106947.8*1.00593457596067</f>
        <v>107582.48984292654</v>
      </c>
      <c r="AF22">
        <f>138183.2*1.0076879025726</f>
        <v>139245.53897877011</v>
      </c>
      <c r="AG22">
        <f>14757.15*1.0008126328248</f>
        <v>14769.142144490495</v>
      </c>
      <c r="AH22">
        <f>9291.525*1.00051142596461</f>
        <v>9296.2769271358229</v>
      </c>
      <c r="AI22">
        <f>6148.817*1.00033835659177</f>
        <v>6150.8974927635381</v>
      </c>
      <c r="AJ22" s="36">
        <f>99106.11*1.00549583909108</f>
        <v>99650.781233502872</v>
      </c>
      <c r="AK22" s="36">
        <f>137962.4*1.00767547621439</f>
        <v>139021.32711968015</v>
      </c>
      <c r="AL22" s="36">
        <f>14637.36*1.00080602836299</f>
        <v>14649.158127319297</v>
      </c>
      <c r="AM22" s="36">
        <f>9622.775*1.00052967318317</f>
        <v>9627.8719258651799</v>
      </c>
      <c r="AN22" s="36">
        <f>6205.067*1.00034145349777</f>
        <v>6207.1857418310465</v>
      </c>
      <c r="AO22">
        <f>95889.44*1.00531603499044</f>
        <v>96399.191618253695</v>
      </c>
      <c r="AP22">
        <f>137222.8*1.00763385577315</f>
        <v>138270.33906398778</v>
      </c>
      <c r="AQ22">
        <f>13679.03*1.00075319682517</f>
        <v>13689.333001967405</v>
      </c>
      <c r="AR22">
        <f>9305.067*1.00051217191887</f>
        <v>9309.8327940206036</v>
      </c>
      <c r="AS22">
        <f>6175.9*1.00033984767272</f>
        <v>6177.9988652419515</v>
      </c>
      <c r="AT22" s="36">
        <f>89905.07*1.00498178005213</f>
        <v>90352.957284311356</v>
      </c>
      <c r="AU22" s="36">
        <f>137112.4*1.00762764353844</f>
        <v>138158.24451189997</v>
      </c>
      <c r="AV22" s="36">
        <f>13039.44*1.00071794168224</f>
        <v>13048.801557489069</v>
      </c>
      <c r="AW22" s="36">
        <f>9318.609*1.0005129178748</f>
        <v>9323.3886811243719</v>
      </c>
      <c r="AX22" s="36">
        <f>6111.317*1.00033629200376</f>
        <v>6113.372187039542</v>
      </c>
      <c r="AY22">
        <f>110797.8*1.00615019136115</f>
        <v>111479.22767239442</v>
      </c>
      <c r="AZ22">
        <f>143901.9*1.00800990473345</f>
        <v>145054.54050996245</v>
      </c>
      <c r="BA22">
        <f>14899.86*1.00082050112093</f>
        <v>14912.0853518317</v>
      </c>
      <c r="BB22">
        <f>9479.025*1.00052175445625</f>
        <v>9483.9707235346541</v>
      </c>
      <c r="BC22">
        <f>6162.359*1.00033910215894</f>
        <v>6164.4486692410637</v>
      </c>
      <c r="BD22" s="36">
        <f>93756.11*1.00519684025972</f>
        <v>94243.345527042737</v>
      </c>
      <c r="BE22" s="36">
        <f>143904*1.00801002303474</f>
        <v>145056.67435479123</v>
      </c>
      <c r="BF22" s="36">
        <f>13947.78*1.00076801183313</f>
        <v>13958.492060085893</v>
      </c>
      <c r="BG22" s="36">
        <f>8957.15*1.00049300761514</f>
        <v>8961.5659431599506</v>
      </c>
      <c r="BH22" s="36">
        <f>6046.734*1.00033273637272</f>
        <v>6048.7459683379629</v>
      </c>
      <c r="BI22">
        <f>97812.36*1.00542350996707</f>
        <v>98342.846309362649</v>
      </c>
      <c r="BJ22">
        <f>144668.6*1.0080530987464</f>
        <v>145833.63052130345</v>
      </c>
      <c r="BK22">
        <f>13452.98*1.00074073619035</f>
        <v>13462.945109154054</v>
      </c>
      <c r="BL22">
        <f>9517.567*1.00052387759309</f>
        <v>9522.5530400920325</v>
      </c>
      <c r="BM22">
        <f>6135.275*1.00033761102627</f>
        <v>6137.3463364891986</v>
      </c>
      <c r="BN22" s="36">
        <f>112061.3*1.00622098269538</f>
        <v>112758.4314081218</v>
      </c>
      <c r="BO22" s="36">
        <f>147487.4*1.00821195094677</f>
        <v>148698.55929406662</v>
      </c>
      <c r="BP22" s="36">
        <f>15546.73*1.00085616853684</f>
        <v>15560.040621076747</v>
      </c>
      <c r="BQ22" s="36">
        <f>9385.275*1.00051659017044</f>
        <v>9390.1233408118769</v>
      </c>
      <c r="BR22" s="36">
        <f>6437.359*1.00035424289556</f>
        <v>6439.6393886919204</v>
      </c>
    </row>
    <row r="23" spans="1:70" x14ac:dyDescent="0.15">
      <c r="A23">
        <f>101125.9*1.00560878988904</f>
        <v>101693.09392544006</v>
      </c>
      <c r="B23">
        <f>135430.1*1.0075329943565</f>
        <v>136450.29417900022</v>
      </c>
      <c r="C23">
        <f>15132.15*1.00083330879498</f>
        <v>15144.759753681954</v>
      </c>
      <c r="D23">
        <f>9437.359*1.00051945924496</f>
        <v>9442.2613233805569</v>
      </c>
      <c r="E23">
        <f>5981.109*1.00032912341298</f>
        <v>5983.077523007486</v>
      </c>
      <c r="F23" s="36">
        <f>106738.4*1.0059228527048</f>
        <v>107370.59582114602</v>
      </c>
      <c r="G23" s="36">
        <f>139817.6*1.00777989896888</f>
        <v>140905.36680207128</v>
      </c>
      <c r="H23" s="36">
        <f>15058.19*1.00082923084083</f>
        <v>15070.676715555079</v>
      </c>
      <c r="I23" s="36">
        <f>9614.442*1.00052921413976</f>
        <v>9619.5300986523016</v>
      </c>
      <c r="J23" s="36">
        <f>6176.942*1.00033990504117</f>
        <v>6179.041573724815</v>
      </c>
      <c r="K23">
        <f>119417.6*1.0066334387621</f>
        <v>120209.74933671697</v>
      </c>
      <c r="L23">
        <f>140473.8*1.00781684197528</f>
        <v>141571.86149626708</v>
      </c>
      <c r="M23">
        <f>15686.32*1.00086386581492</f>
        <v>15699.870875609897</v>
      </c>
      <c r="N23">
        <f>9452.984*1.00052031996112</f>
        <v>9457.9025762673482</v>
      </c>
      <c r="O23">
        <f>6280.067*1.00034558275051</f>
        <v>6282.2372828272473</v>
      </c>
      <c r="P23" s="36">
        <f>80957.15*1.0044826193718</f>
        <v>81320.050088875709</v>
      </c>
      <c r="Q23" s="36">
        <f>136359.2*1.00758526386512</f>
        <v>137393.52051243666</v>
      </c>
      <c r="R23" s="36">
        <f>11267.57*1.00062029305782</f>
        <v>11274.559195449501</v>
      </c>
      <c r="S23" s="36">
        <f>8943.609*1.00049226175883</f>
        <v>8948.0115966966296</v>
      </c>
      <c r="T23" s="36">
        <f>5731.109*1.00031536011552</f>
        <v>5732.9163631962974</v>
      </c>
      <c r="U23">
        <f>84904.03*1.00470270466058</f>
        <v>85303.308577583026</v>
      </c>
      <c r="V23">
        <f>136293.6*1.00758157305861</f>
        <v>137326.91988582097</v>
      </c>
      <c r="W23">
        <f>12108.19*1.00066661647341</f>
        <v>12116.261518917177</v>
      </c>
      <c r="X23">
        <f>8816.525*1.00048526188421</f>
        <v>8820.8033235336843</v>
      </c>
      <c r="Y23">
        <f>5769.65*1.00031748188346</f>
        <v>5771.4817593489042</v>
      </c>
      <c r="Z23" s="36">
        <f>91460.28*1.0050686136578</f>
        <v>91923.85682435421</v>
      </c>
      <c r="AA23" s="36">
        <f>139270.7*1.00774911248806</f>
        <v>140349.92432059086</v>
      </c>
      <c r="AB23" s="36">
        <f>13718.61*1.00075537865553</f>
        <v>13728.972745177542</v>
      </c>
      <c r="AC23" s="36">
        <f>9540.484*1.00052514001263</f>
        <v>9545.4940898882578</v>
      </c>
      <c r="AD23" s="36">
        <f>6186.317*1.00034042119257</f>
        <v>6188.4229534107553</v>
      </c>
      <c r="AE23">
        <f>105414.4*1.00584873808952</f>
        <v>106030.94121646389</v>
      </c>
      <c r="AF23">
        <f>137375.9*1.00764247093778</f>
        <v>138425.79132330138</v>
      </c>
      <c r="AG23">
        <f>15357.15*1.00084571499237</f>
        <v>15370.137771995074</v>
      </c>
      <c r="AH23">
        <f>9201.942*1.00050649137213</f>
        <v>9206.6027042298392</v>
      </c>
      <c r="AI23">
        <f>5971.734*1.00032860727907</f>
        <v>5973.6963552610705</v>
      </c>
      <c r="AJ23" s="36">
        <f>96130.07*1.00532948228402</f>
        <v>96642.393505026601</v>
      </c>
      <c r="AK23" s="36">
        <f>137806.1*1.00766668011706</f>
        <v>138862.61528687959</v>
      </c>
      <c r="AL23" s="36">
        <f>14134.23*1.00077829038999</f>
        <v>14145.230535378907</v>
      </c>
      <c r="AM23" s="36">
        <f>9451.942*1.00052026256161</f>
        <v>9456.8594915571084</v>
      </c>
      <c r="AN23" s="36">
        <f>6070.692*1.00033405538117</f>
        <v>6072.7199473300252</v>
      </c>
      <c r="AO23">
        <f>95894.65*1.00531632613877</f>
        <v>96404.457234363203</v>
      </c>
      <c r="AP23">
        <f>137442.6*1.00764622431522</f>
        <v>138493.51695006707</v>
      </c>
      <c r="AQ23">
        <f>14119.65*1.00077748661693</f>
        <v>14130.627838910734</v>
      </c>
      <c r="AR23">
        <f>9365.484*1.00051549997927</f>
        <v>9370.311906807854</v>
      </c>
      <c r="AS23">
        <f>6067.567*1.0003338833339</f>
        <v>6069.5928594986217</v>
      </c>
      <c r="AT23" s="36">
        <f>90394.65*1.00500911283399</f>
        <v>90847.447001439024</v>
      </c>
      <c r="AU23" s="36">
        <f>137323.8*1.00763953916845</f>
        <v>138372.89054886039</v>
      </c>
      <c r="AV23" s="36">
        <f>14149.86*1.0007791520501</f>
        <v>14160.884892427628</v>
      </c>
      <c r="AW23" s="36">
        <f>9295.692*1.00051165550153</f>
        <v>9300.4481919523278</v>
      </c>
      <c r="AX23" s="36">
        <f>5920.692*1.00032579721235</f>
        <v>5922.6209449487833</v>
      </c>
      <c r="AY23">
        <f>111210.3*1.00617330125098</f>
        <v>111896.83468411186</v>
      </c>
      <c r="AZ23">
        <f>143629*1.00799453155441</f>
        <v>144777.24657262836</v>
      </c>
      <c r="BA23">
        <f>15860.28*1.00087345857374</f>
        <v>15874.133297547918</v>
      </c>
      <c r="BB23">
        <f>9690.484*1.00053340312019</f>
        <v>9695.6529344017526</v>
      </c>
      <c r="BC23">
        <f>6120.692*1.00033680814956</f>
        <v>6122.7534989465466</v>
      </c>
      <c r="BD23" s="36">
        <f>95947.78*1.00531929519558</f>
        <v>96458.154565180565</v>
      </c>
      <c r="BE23" s="36">
        <f>146035.3*1.00813010910652</f>
        <v>147222.58292240338</v>
      </c>
      <c r="BF23" s="36">
        <f>13679.03*1.00075319682517</f>
        <v>13689.333001967405</v>
      </c>
      <c r="BG23" s="36">
        <f>9243.609*1.00050878654924</f>
        <v>9248.3120239256332</v>
      </c>
      <c r="BH23" s="36">
        <f>6091.525*1.00033520234688</f>
        <v>6093.566893476077</v>
      </c>
      <c r="BI23">
        <f>96532.15*1.00535195320641</f>
        <v>97048.785549714143</v>
      </c>
      <c r="BJ23">
        <f>144498.8*1.00804353214759</f>
        <v>145661.08074308815</v>
      </c>
      <c r="BK23">
        <f>14745.69*1.00081200098733</f>
        <v>14757.663514838863</v>
      </c>
      <c r="BL23">
        <f>9397.775*1.00051727873726</f>
        <v>9402.6362691850536</v>
      </c>
      <c r="BM23">
        <f>6082.15*1.00033468620356</f>
        <v>6084.1856116929821</v>
      </c>
      <c r="BN23" s="36">
        <f>108896.7*1.00604370479759</f>
        <v>109554.83950823173</v>
      </c>
      <c r="BO23" s="36">
        <f>146035.3*1.00813010910652</f>
        <v>147222.58292240338</v>
      </c>
      <c r="BP23" s="36">
        <f>14966.53*1.00082417702579</f>
        <v>14978.865070181797</v>
      </c>
      <c r="BQ23" s="36">
        <f>9741.525*1.00053621488203</f>
        <v>9746.748550678667</v>
      </c>
      <c r="BR23" s="36">
        <f>6297.775*1.00034655770207</f>
        <v>6299.9575424321538</v>
      </c>
    </row>
    <row r="24" spans="1:70" x14ac:dyDescent="0.15">
      <c r="A24">
        <f>99575.9*1.00552210730844</f>
        <v>100125.76880513447</v>
      </c>
      <c r="B24">
        <f>134821.7*1.00749877127503</f>
        <v>135832.69709121072</v>
      </c>
      <c r="C24">
        <f>14214.44*1.00078271227906</f>
        <v>14225.565816727962</v>
      </c>
      <c r="D24">
        <f>9222.775*1.00050763893117</f>
        <v>9227.4568396434206</v>
      </c>
      <c r="E24">
        <f>5883.192*1.0003237327021</f>
        <v>5885.0965816431326</v>
      </c>
      <c r="F24" s="36">
        <f>105528*1.00585509652464</f>
        <v>106145.87662605221</v>
      </c>
      <c r="G24" s="36">
        <f>139818.6*1.00777995526417</f>
        <v>140906.38245309889</v>
      </c>
      <c r="H24" s="36">
        <f>15275.9*1.00084123492341</f>
        <v>15288.750620566518</v>
      </c>
      <c r="I24" s="36">
        <f>9485.275*1.00052209874481</f>
        <v>9490.227250171678</v>
      </c>
      <c r="J24" s="36">
        <f>6073.817*1.00033422742853</f>
        <v>6075.8470362372718</v>
      </c>
      <c r="K24">
        <f>120470.7*1.00669252600315</f>
        <v>121276.95329236769</v>
      </c>
      <c r="L24">
        <f>139189.4*1.00774453613252</f>
        <v>140267.35733756376</v>
      </c>
      <c r="M24">
        <f>15684.23*1.00086375056674</f>
        <v>15697.777262551379</v>
      </c>
      <c r="N24">
        <f>9510.275*1.00052347590263</f>
        <v>9515.2533997898845</v>
      </c>
      <c r="O24">
        <f>6317.567*1.00034764739605</f>
        <v>6319.763285716921</v>
      </c>
      <c r="P24" s="36">
        <f>80695.69*1.00446804499603</f>
        <v>81056.241973905679</v>
      </c>
      <c r="Q24" s="36">
        <f>136446.7*1.00759018687915</f>
        <v>137482.35595204332</v>
      </c>
      <c r="R24" s="36">
        <f>11068.61*1.00060933006007</f>
        <v>11075.354436796193</v>
      </c>
      <c r="S24" s="36">
        <f>8909.234*1.00049036834556</f>
        <v>8913.6028063367867</v>
      </c>
      <c r="T24" s="36">
        <f>5717.567*1.00031461460144</f>
        <v>5719.3658300629122</v>
      </c>
      <c r="U24">
        <f>83531.11*1.00462613168448</f>
        <v>83917.53591461078</v>
      </c>
      <c r="V24">
        <f>135301.9*1.00752578269329</f>
        <v>136320.15269738925</v>
      </c>
      <c r="W24">
        <f>12057.15*1.00066380366693</f>
        <v>12065.153580382725</v>
      </c>
      <c r="X24">
        <f>8831.109*1.00048606517355</f>
        <v>8835.4014945287254</v>
      </c>
      <c r="Y24">
        <f>5604.025*1.00030836395375</f>
        <v>5605.7530793059132</v>
      </c>
      <c r="Z24" s="36">
        <f>89845.69*1.00497846507555</f>
        <v>90292.983629853697</v>
      </c>
      <c r="AA24" s="36">
        <f>139484.2*1.00776113064422</f>
        <v>140566.75509900451</v>
      </c>
      <c r="AB24" s="36">
        <f>13587.36*1.00074814361093</f>
        <v>13597.525296573407</v>
      </c>
      <c r="AC24" s="36">
        <f>9571.734*1.00052686147649</f>
        <v>9576.7769779078099</v>
      </c>
      <c r="AD24" s="36">
        <f>6170.692*1.00033956094068</f>
        <v>6172.7873259801663</v>
      </c>
      <c r="AE24">
        <f>106833.2*1.00592816003051</f>
        <v>107466.52430617149</v>
      </c>
      <c r="AF24">
        <f>138958.2*1.00773152228712</f>
        <v>140032.55842027807</v>
      </c>
      <c r="AG24">
        <f>14367.57*1.00079115433031</f>
        <v>14378.936965221534</v>
      </c>
      <c r="AH24">
        <f>9485.275*1.00052209874481</f>
        <v>9490.227250171678</v>
      </c>
      <c r="AI24">
        <f>6237.359*1.00034323138256</f>
        <v>6239.4998573530929</v>
      </c>
      <c r="AJ24" s="36">
        <f>98351.94*1.00545367413302</f>
        <v>98888.319431110343</v>
      </c>
      <c r="AK24" s="36">
        <f>139131.1*1.00774125447939</f>
        <v>140208.14925109746</v>
      </c>
      <c r="AL24" s="36">
        <f>13534.23*1.0007452149095</f>
        <v>13544.315909984602</v>
      </c>
      <c r="AM24" s="36">
        <f>9623.817*1.0005297305843</f>
        <v>9628.9150302026046</v>
      </c>
      <c r="AN24" s="36">
        <f>6235.275*1.00034311664451</f>
        <v>6237.414426635597</v>
      </c>
      <c r="AO24">
        <f>93601.94*1.00518822802358</f>
        <v>94087.568208169454</v>
      </c>
      <c r="AP24">
        <f>138041.5*1.0076799278142</f>
        <v>139101.64875536389</v>
      </c>
      <c r="AQ24">
        <f>14402.98*1.00079310651273</f>
        <v>14414.40309724072</v>
      </c>
      <c r="AR24">
        <f>9517.567*1.00052387759309</f>
        <v>9522.5530400920325</v>
      </c>
      <c r="AS24">
        <f>6077.984*1.00033445684349</f>
        <v>6080.0168233434233</v>
      </c>
      <c r="AT24" s="36">
        <f>89558.19*1.00496241542625</f>
        <v>90002.614943603025</v>
      </c>
      <c r="AU24" s="36">
        <f>138068.6*1.00768145296504</f>
        <v>139129.16745684893</v>
      </c>
      <c r="AV24" s="36">
        <f>13326.94*1.00073378864462</f>
        <v>13336.719157239531</v>
      </c>
      <c r="AW24" s="36">
        <f>9500.9*1.00052295946778</f>
        <v>9505.8685856074317</v>
      </c>
      <c r="AX24" s="36">
        <f>5970.692*1.00032854991256</f>
        <v>5972.6536703345228</v>
      </c>
      <c r="AY24">
        <f>107417.6*1.00596087920082</f>
        <v>108057.903337642</v>
      </c>
      <c r="AZ24">
        <f>143843.6*1.00800662048097</f>
        <v>144995.30111381644</v>
      </c>
      <c r="BA24">
        <f>14623.82*1.00080528186139</f>
        <v>14635.596296990232</v>
      </c>
      <c r="BB24">
        <f>9329.025*1.00051349163735</f>
        <v>9333.8153763221289</v>
      </c>
      <c r="BC24">
        <f>6233.192*1.00034300196155</f>
        <v>6235.3299970827175</v>
      </c>
      <c r="BD24" s="36">
        <f>93455.07*1.00518002378585</f>
        <v>93939.169485508275</v>
      </c>
      <c r="BE24" s="36">
        <f>144625.9*1.0080506929859</f>
        <v>145790.23871870947</v>
      </c>
      <c r="BF24" s="36">
        <f>12896.73*1.00071007580537</f>
        <v>12905.887655941389</v>
      </c>
      <c r="BG24" s="36">
        <f>9041.525*1.00049765514007</f>
        <v>9046.0245613903207</v>
      </c>
      <c r="BH24" s="36">
        <f>5993.609*1.00032981159277</f>
        <v>5995.5857617307302</v>
      </c>
      <c r="BI24">
        <f>95812.36*1.00531172758952</f>
        <v>96321.28915602903</v>
      </c>
      <c r="BJ24">
        <f>143182.2*1.00796936365035</f>
        <v>144323.27102005715</v>
      </c>
      <c r="BK24">
        <f>14644.65*1.00080643028368</f>
        <v>14656.459889253896</v>
      </c>
      <c r="BL24">
        <f>9151.942*1.00050373720248</f>
        <v>9156.5521736603387</v>
      </c>
      <c r="BM24">
        <f>6085.275*1.00033485825125</f>
        <v>6087.3127045448746</v>
      </c>
      <c r="BN24" s="36">
        <f>111109.2*1.00616763707948</f>
        <v>111794.48122179137</v>
      </c>
      <c r="BO24" s="36">
        <f>146474.9*1.00815488330309</f>
        <v>147669.38571633177</v>
      </c>
      <c r="BP24" s="36">
        <f>14904.03*1.0008207310361</f>
        <v>14916.262199983965</v>
      </c>
      <c r="BQ24" s="36">
        <f>9525.9*1.00052433662915</f>
        <v>9530.8947782956202</v>
      </c>
      <c r="BR24" s="36">
        <f>6327.984*1.00034822092933</f>
        <v>6330.1875364692651</v>
      </c>
    </row>
    <row r="25" spans="1:70" x14ac:dyDescent="0.15">
      <c r="A25">
        <f>100003*1.00554599031246</f>
        <v>100557.61566921693</v>
      </c>
      <c r="B25">
        <f>135078*1.00751318796889</f>
        <v>136092.8664044617</v>
      </c>
      <c r="C25">
        <f>13837.36*1.00076192478351</f>
        <v>13847.90302752235</v>
      </c>
      <c r="D25">
        <f>9343.609*1.0005142949947</f>
        <v>9348.414371341134</v>
      </c>
      <c r="E25">
        <f>5883.192*1.0003237327021</f>
        <v>5885.0965816431326</v>
      </c>
      <c r="F25" s="36">
        <f>107812.4*1.00598298492713</f>
        <v>108457.4399641577</v>
      </c>
      <c r="G25" s="36">
        <f>140771.7*1.00783361461107</f>
        <v>141874.45124594518</v>
      </c>
      <c r="H25" s="36">
        <f>15093.61*1.00083118379751</f>
        <v>15106.155564077933</v>
      </c>
      <c r="I25" s="36">
        <f>9573.817*1.0005269762227</f>
        <v>9578.8621739194805</v>
      </c>
      <c r="J25" s="36">
        <f>6149.859*1.00033841395997</f>
        <v>6151.9401981374476</v>
      </c>
      <c r="K25">
        <f>120673.8*1.00670392271922</f>
        <v>121482.78782943462</v>
      </c>
      <c r="L25">
        <f>140893.6*1.00784047817737</f>
        <v>141998.27319613111</v>
      </c>
      <c r="M25">
        <f>15510.28*1.00085415863855</f>
        <v>15523.528239648329</v>
      </c>
      <c r="N25">
        <f>9293.609*1.00051154076059</f>
        <v>9298.3630598164873</v>
      </c>
      <c r="O25">
        <f>6345.692*1.00034919588861</f>
        <v>6347.9078895567845</v>
      </c>
      <c r="P25" s="36">
        <f>81076.94*1.00448929695139</f>
        <v>81440.918459570035</v>
      </c>
      <c r="Q25" s="36">
        <f>137017.6*1.00762230921141</f>
        <v>138061.99051460531</v>
      </c>
      <c r="R25" s="36">
        <f>11376.94*1.00062631966422</f>
        <v>11384.065601240651</v>
      </c>
      <c r="S25" s="36">
        <f>8927.984*1.0004914011151</f>
        <v>8932.371221293195</v>
      </c>
      <c r="T25" s="36">
        <f>5793.609*1.00031880088662</f>
        <v>5795.4560076859298</v>
      </c>
      <c r="U25">
        <f>84409.23*1.00467510575954</f>
        <v>84803.852077331336</v>
      </c>
      <c r="V25">
        <f>135965.5*1.00756311400993</f>
        <v>136993.82257791713</v>
      </c>
      <c r="W25">
        <f>11852.98*1.00065255212718</f>
        <v>11860.714687312422</v>
      </c>
      <c r="X25">
        <f>9115.484*1.00050172898648</f>
        <v>9120.0575025485941</v>
      </c>
      <c r="Y25">
        <f>5712.359*1.00031432789111</f>
        <v>5714.1545537577331</v>
      </c>
      <c r="Z25" s="36">
        <f>90621.73*1.00502179125091</f>
        <v>91076.813410856324</v>
      </c>
      <c r="AA25" s="36">
        <f>139468.6*1.00776025248801</f>
        <v>140550.91155014929</v>
      </c>
      <c r="AB25" s="36">
        <f>13537.36*1.00074538744474</f>
        <v>13547.450578178927</v>
      </c>
      <c r="AC25" s="36">
        <f>9475.9*1.0005215823121</f>
        <v>9480.8424618312292</v>
      </c>
      <c r="AD25" s="36">
        <f>6237.359*1.00034323138256</f>
        <v>6239.4998573530929</v>
      </c>
      <c r="AE25">
        <f>106853*1.00592926853321</f>
        <v>107486.56013057909</v>
      </c>
      <c r="AF25">
        <f>138292.6*1.00769405964363</f>
        <v>139356.63151267267</v>
      </c>
      <c r="AG25">
        <f>15540.48*1.00085582390321</f>
        <v>15553.779914251356</v>
      </c>
      <c r="AH25">
        <f>9495.692*1.00052267257824</f>
        <v>9500.655137819811</v>
      </c>
      <c r="AI25">
        <f>6246.734*1.0003437475391</f>
        <v>6248.8812994399123</v>
      </c>
      <c r="AJ25" s="36">
        <f>98243.61*1.00544761793778</f>
        <v>98778.803652108269</v>
      </c>
      <c r="AK25" s="36">
        <f>138344.7*1.00769699188999</f>
        <v>139409.53803392313</v>
      </c>
      <c r="AL25" s="36">
        <f>14588.4*1.00080332905638</f>
        <v>14600.119285606093</v>
      </c>
      <c r="AM25" s="36">
        <f>9673.817*1.00053248496865</f>
        <v>9678.9681621419713</v>
      </c>
      <c r="AN25" s="36">
        <f>6185.275*1.00034036382402</f>
        <v>6187.380243851615</v>
      </c>
      <c r="AO25">
        <f>95276.94*1.00528180866589</f>
        <v>95780.174567351467</v>
      </c>
      <c r="AP25">
        <f>137841.5*1.00766867230314</f>
        <v>138898.56129327329</v>
      </c>
      <c r="AQ25">
        <f>14269.65*1.00078575597969</f>
        <v>14280.862462815583</v>
      </c>
      <c r="AR25">
        <f>9600.9*1.00052846814738</f>
        <v>9605.9737698361805</v>
      </c>
      <c r="AS25">
        <f>6240.484*1.00034340343465</f>
        <v>6242.6270036394781</v>
      </c>
      <c r="AT25" s="36">
        <f>89081.11*1.00493578419789</f>
        <v>89520.795135068503</v>
      </c>
      <c r="AU25" s="36">
        <f>137761.3*1.0076641589494</f>
        <v>138817.12450027597</v>
      </c>
      <c r="AV25" s="36">
        <f>12955.07*1.00071329136179</f>
        <v>12964.310739522385</v>
      </c>
      <c r="AW25" s="36">
        <f>9335.275*1.00051383591738</f>
        <v>9340.0717995936193</v>
      </c>
      <c r="AX25" s="36">
        <f>6124.859*1.00033703756631</f>
        <v>6126.9233075713528</v>
      </c>
      <c r="AY25">
        <f>111260.3*1.00617610255816</f>
        <v>111947.45502345165</v>
      </c>
      <c r="AZ25">
        <f>143848.8*1.00800691341471</f>
        <v>145000.58488640992</v>
      </c>
      <c r="BA25">
        <f>15290.48*1.00084203885013</f>
        <v>15303.355178197135</v>
      </c>
      <c r="BB25">
        <f>9543.609*1.00052531215862</f>
        <v>9548.6223738448152</v>
      </c>
      <c r="BC25">
        <f>6186.317*1.00034042119257</f>
        <v>6188.4229534107553</v>
      </c>
      <c r="BD25" s="36">
        <f>95371.73*1.00528710527492</f>
        <v>95875.970376761237</v>
      </c>
      <c r="BE25" s="36">
        <f>144333.2*1.00803420244141</f>
        <v>145492.80214781652</v>
      </c>
      <c r="BF25" s="36">
        <f>13891.53*1.00076491096305</f>
        <v>13902.155783590541</v>
      </c>
      <c r="BG25" s="36">
        <f>9249.859*1.00050913082442</f>
        <v>9254.568388338439</v>
      </c>
      <c r="BH25" s="36">
        <f>6088.4*1.00033503029902</f>
        <v>6090.4397984725529</v>
      </c>
      <c r="BI25">
        <f>93726.94*1.00519521074977</f>
        <v>94213.871206231037</v>
      </c>
      <c r="BJ25">
        <f>143113.4*1.0079654883666</f>
        <v>144253.36812280456</v>
      </c>
      <c r="BK25">
        <f>13255.07*1.00072982710903</f>
        <v>13264.743909418088</v>
      </c>
      <c r="BL25">
        <f>9362.359*1.00051532783835</f>
        <v>9367.1836842253269</v>
      </c>
      <c r="BM25">
        <f>6050.9*1.0003329657316</f>
        <v>6052.9147423453378</v>
      </c>
      <c r="BN25" s="36">
        <f>110919.7*1.00615702051767</f>
        <v>111602.63486871379</v>
      </c>
      <c r="BO25" s="36">
        <f>146294.7*1.00814472768988</f>
        <v>147486.23049397272</v>
      </c>
      <c r="BP25" s="36">
        <f>15064.44*1.00082957544698</f>
        <v>15076.937089546504</v>
      </c>
      <c r="BQ25" s="36">
        <f>9522.775*1.00052416448367</f>
        <v>9527.766500440981</v>
      </c>
      <c r="BR25" s="36">
        <f>6373.817*1.00035074438835</f>
        <v>6376.0525805451198</v>
      </c>
    </row>
    <row r="26" spans="1:70" x14ac:dyDescent="0.15">
      <c r="A26">
        <f>102986.3*1.00571286101468</f>
        <v>103574.64641831613</v>
      </c>
      <c r="B26">
        <f>135115.5*1.0075152973694</f>
        <v>136130.93316171516</v>
      </c>
      <c r="C26">
        <f>14433.19*1.0007947720239</f>
        <v>14444.661095627634</v>
      </c>
      <c r="D26">
        <f>9290.484*1.00051136862172</f>
        <v>9295.2348619981913</v>
      </c>
      <c r="E26">
        <f>5991.525*1.00032969685934</f>
        <v>5993.5003869751572</v>
      </c>
      <c r="F26" s="36">
        <f>110061.3*1.00610893367023</f>
        <v>110733.65718135929</v>
      </c>
      <c r="G26" s="36">
        <f>141842.6*1.00789391632672</f>
        <v>142962.29361596442</v>
      </c>
      <c r="H26" s="36">
        <f>14764.44*1.00081303475344</f>
        <v>14776.444002835082</v>
      </c>
      <c r="I26" s="36">
        <f>9479.025*1.00052175445625</f>
        <v>9483.9707235346541</v>
      </c>
      <c r="J26" s="36">
        <f>6302.984*1.00034684449517</f>
        <v>6305.1701553035446</v>
      </c>
      <c r="K26">
        <f>120185.3*1.00667651177544</f>
        <v>120987.71857068478</v>
      </c>
      <c r="L26">
        <f>140812.4*1.00783590620453</f>
        <v>141915.79275883475</v>
      </c>
      <c r="M26">
        <f>15230.07*1.00083870791537</f>
        <v>15242.843580260638</v>
      </c>
      <c r="N26">
        <f>9408.192*1.00051785256239</f>
        <v>9413.0640563346551</v>
      </c>
      <c r="O26">
        <f>6238.4*1.00034328869654</f>
        <v>6240.5415722044945</v>
      </c>
      <c r="P26" s="36">
        <f>80566.53*1.00446084555795</f>
        <v>80925.924847469942</v>
      </c>
      <c r="Q26" s="36">
        <f>135685.3*1.00754735064106</f>
        <v>136709.36453593741</v>
      </c>
      <c r="R26" s="36">
        <f>11459.23*1.00063085415533</f>
        <v>11466.459102862382</v>
      </c>
      <c r="S26" s="36">
        <f>8830.067*1.00048600777994</f>
        <v>8834.3584812593908</v>
      </c>
      <c r="T26" s="36">
        <f>5632.15*1.00030991226386</f>
        <v>5633.8954723568986</v>
      </c>
      <c r="U26">
        <f>85605.07*1.00474181109426</f>
        <v>86010.993070650919</v>
      </c>
      <c r="V26">
        <f>137492.6*1.00764903796905</f>
        <v>138544.2861178634</v>
      </c>
      <c r="W26">
        <f>11912.36*1.00065582444161</f>
        <v>11920.172416845257</v>
      </c>
      <c r="X26">
        <f>9043.609*1.00049776993131</f>
        <v>9048.1106366307249</v>
      </c>
      <c r="Y26">
        <f>5781.109*1.00031811272956</f>
        <v>5782.948044363874</v>
      </c>
      <c r="Z26" s="36">
        <f>90557.15*1.00501818554689</f>
        <v>91011.582581297553</v>
      </c>
      <c r="AA26" s="36">
        <f>138767.6*1.00772079412505</f>
        <v>139838.99607082727</v>
      </c>
      <c r="AB26" s="36">
        <f>13991.53*1.0007704236409</f>
        <v>14002.309405484364</v>
      </c>
      <c r="AC26" s="36">
        <f>9549.859*1.00052565645085</f>
        <v>9554.8789449880587</v>
      </c>
      <c r="AD26" s="36">
        <f>6283.192*1.00034575480381</f>
        <v>6285.3644438172605</v>
      </c>
      <c r="AE26">
        <f>107109.2*1.00594361221749</f>
        <v>107745.81554972558</v>
      </c>
      <c r="AF26">
        <f>138348.8*1.00769722264367</f>
        <v>139413.70151608455</v>
      </c>
      <c r="AG26">
        <f>15014.44*1.00082681860775</f>
        <v>15026.854218376946</v>
      </c>
      <c r="AH26">
        <f>9235.275*1.0005083274795</f>
        <v>9239.9695440632386</v>
      </c>
      <c r="AI26">
        <f>6023.817*1.00033147468144</f>
        <v>6025.8137428211276</v>
      </c>
      <c r="AJ26" s="36">
        <f>100414.4*1.00556899700018</f>
        <v>100973.60749237487</v>
      </c>
      <c r="AK26" s="36">
        <f>139069.7*1.00773779836487</f>
        <v>140145.79329726298</v>
      </c>
      <c r="AL26" s="36">
        <f>14446.73*1.00079551850199</f>
        <v>14458.222641008251</v>
      </c>
      <c r="AM26" s="36">
        <f>9686.317*1.00053317356829</f>
        <v>9691.4814881984785</v>
      </c>
      <c r="AN26" s="36">
        <f>6330.067*1.00034833561408</f>
        <v>6332.2719877756135</v>
      </c>
      <c r="AO26">
        <f>95498.82*1.00529420685226</f>
        <v>96004.410507226741</v>
      </c>
      <c r="AP26">
        <f>139299.9*1.0077507561636</f>
        <v>140379.57955851388</v>
      </c>
      <c r="AQ26">
        <f>14220.69*1.00078305683714</f>
        <v>14231.825608533351</v>
      </c>
      <c r="AR26">
        <f>9454.025*1.00052037730555</f>
        <v>9458.9446600561023</v>
      </c>
      <c r="AS26">
        <f>6198.817*1.00034110939568</f>
        <v>6200.9314747208009</v>
      </c>
      <c r="AT26" s="36">
        <f>91386.32*1.0050644836641</f>
        <v>91849.144524762232</v>
      </c>
      <c r="AU26" s="36">
        <f>138297.8*1.00769435230431</f>
        <v>139361.91199611098</v>
      </c>
      <c r="AV26" s="36">
        <f>13664.44*1.00075239256133</f>
        <v>13674.721023010739</v>
      </c>
      <c r="AW26" s="36">
        <f>9279.025*1.00051073740988</f>
        <v>9283.7641451947111</v>
      </c>
      <c r="AX26" s="36">
        <f>6036.317*1.00033216286608</f>
        <v>6038.3220403552868</v>
      </c>
      <c r="AY26">
        <f>109073.8*1.00605362329232</f>
        <v>109734.09169626186</v>
      </c>
      <c r="AZ26">
        <f>144064.4*1.00801905912333</f>
        <v>145219.66094116707</v>
      </c>
      <c r="BA26">
        <f>15281.11*1.00084152219742</f>
        <v>15293.969393266218</v>
      </c>
      <c r="BB26">
        <f>9466.525*1.00052106588019</f>
        <v>9471.4576831814647</v>
      </c>
      <c r="BC26">
        <f>6312.359*1.00034736065732</f>
        <v>6314.5516651714806</v>
      </c>
      <c r="BD26" s="36">
        <f>96926.94*1.00537401818339</f>
        <v>97447.827138020337</v>
      </c>
      <c r="BE26" s="36">
        <f>146283.2*1.00814407958961</f>
        <v>147474.54202342284</v>
      </c>
      <c r="BF26" s="36">
        <f>13265.48*1.00073040091418</f>
        <v>13275.169118719035</v>
      </c>
      <c r="BG26" s="36">
        <f>9474.859*1.00052152496746</f>
        <v>9479.8003755316622</v>
      </c>
      <c r="BH26" s="36">
        <f>5958.192*1.00032786173538</f>
        <v>5960.1454631688466</v>
      </c>
      <c r="BI26">
        <f>97401.94*1.00540056805945</f>
        <v>97927.96580609247</v>
      </c>
      <c r="BJ26">
        <f>144830.1*1.0080621979733</f>
        <v>145997.74893869285</v>
      </c>
      <c r="BK26">
        <f>13242.57*1.00072913810319</f>
        <v>13252.22566237116</v>
      </c>
      <c r="BL26">
        <f>9401.942*1.00051750827821</f>
        <v>9406.8075828162491</v>
      </c>
      <c r="BM26">
        <f>6020.692*1.0003313026355</f>
        <v>6022.6866711271341</v>
      </c>
      <c r="BN26" s="36">
        <f>111109.2*1.00616763707948</f>
        <v>111794.48122179137</v>
      </c>
      <c r="BO26" s="36">
        <f>147364.4*1.00820501776645</f>
        <v>148573.52752014226</v>
      </c>
      <c r="BP26" s="36">
        <f>14954.03*1.000823487825</f>
        <v>14966.344461639685</v>
      </c>
      <c r="BQ26" s="36">
        <f>9813.4*1.00054017439369</f>
        <v>9818.7009473950366</v>
      </c>
      <c r="BR26" s="36">
        <f>6433.192*1.00035401346698</f>
        <v>6435.4694366036674</v>
      </c>
    </row>
    <row r="27" spans="1:70" x14ac:dyDescent="0.15">
      <c r="A27">
        <f>98479.03*1.00546077924695</f>
        <v>99016.802243283775</v>
      </c>
      <c r="B27">
        <f>134962.4*1.0075066854738</f>
        <v>135975.52028758917</v>
      </c>
      <c r="C27">
        <f>14156.11*1.00077949660451</f>
        <v>14167.144639678072</v>
      </c>
      <c r="D27">
        <f>9268.609*1.00051016365207</f>
        <v>9273.337507417049</v>
      </c>
      <c r="E27">
        <f>5962.359*1.00032809114596</f>
        <v>5964.3151971969355</v>
      </c>
      <c r="F27" s="36">
        <f>109408.2*1.0060723521832</f>
        <v>110072.56512212998</v>
      </c>
      <c r="G27" s="36">
        <f>141112.4*1.00785279804026</f>
        <v>142220.52717817639</v>
      </c>
      <c r="H27" s="36">
        <f>14757.15*1.0008126328248</f>
        <v>14769.142144490495</v>
      </c>
      <c r="I27" s="36">
        <f>9389.442*1.00051681971092</f>
        <v>9394.2946487001391</v>
      </c>
      <c r="J27" s="36">
        <f>6119.65*1.00033675078164</f>
        <v>6121.7107969208637</v>
      </c>
      <c r="K27">
        <f>122412.4*1.0068014980741</f>
        <v>123244.98770284596</v>
      </c>
      <c r="L27">
        <f>139898.8*1.00778447017773</f>
        <v>140987.83803650021</v>
      </c>
      <c r="M27">
        <f>16301.94*1.00089781448018</f>
        <v>16316.576117787024</v>
      </c>
      <c r="N27">
        <f>9326.942*1.00051337689577</f>
        <v>9331.7302365309843</v>
      </c>
      <c r="O27">
        <f>6190.484*1.0003406506118</f>
        <v>6192.5927921619386</v>
      </c>
      <c r="P27" s="36">
        <f>80748.82*1.00447100653178</f>
        <v>81109.848501653527</v>
      </c>
      <c r="Q27" s="36">
        <f>136000.9*1.00756510558038</f>
        <v>137029.76116752671</v>
      </c>
      <c r="R27" s="36">
        <f>11809.23*1.0006501411717</f>
        <v>11816.907666629073</v>
      </c>
      <c r="S27" s="36">
        <f>8932.15*1.00049163058316</f>
        <v>8936.5413181133717</v>
      </c>
      <c r="T27" s="36">
        <f>5465.484*1.00030073723447</f>
        <v>5467.1276745432006</v>
      </c>
      <c r="U27">
        <f>82055.07*1.00454382686852</f>
        <v>82427.914031764303</v>
      </c>
      <c r="V27">
        <f>135976.9*1.00756375536183</f>
        <v>137005.39600646001</v>
      </c>
      <c r="W27">
        <f>12370.69*1.00068108318247</f>
        <v>12379.11546891455</v>
      </c>
      <c r="X27">
        <f>8907.15*1.00049025355686</f>
        <v>8911.5167619689855</v>
      </c>
      <c r="Y27">
        <f>5807.15*1.000319546355</f>
        <v>5809.005653615438</v>
      </c>
      <c r="Z27" s="36">
        <f>91283.19*1.00505872487617</f>
        <v>91744.966544029157</v>
      </c>
      <c r="AA27" s="36">
        <f>139841.5*1.00778124442905</f>
        <v>140929.64089282497</v>
      </c>
      <c r="AB27" s="36">
        <f>13516.53*1.00074423923263</f>
        <v>13526.58953191502</v>
      </c>
      <c r="AC27" s="36">
        <f>9530.067*1.00052456617496</f>
        <v>9535.0661507933019</v>
      </c>
      <c r="AD27" s="36">
        <f>6275.9*1.00034535332788</f>
        <v>6278.0674029504426</v>
      </c>
      <c r="AE27">
        <f>107855.1*1.00598537588219</f>
        <v>108500.65331431119</v>
      </c>
      <c r="AF27">
        <f>138504*1.00770595763156</f>
        <v>139571.30595580157</v>
      </c>
      <c r="AG27">
        <f>14586.32*1.00080321438044</f>
        <v>14598.035941981698</v>
      </c>
      <c r="AH27">
        <f>9550.9*1.0005257137962</f>
        <v>9555.9210398961259</v>
      </c>
      <c r="AI27">
        <f>6141.525*1.00033795512475</f>
        <v>6143.6005598475294</v>
      </c>
      <c r="AJ27" s="36">
        <f>97707.15*1.00541762872433</f>
        <v>98236.491062412402</v>
      </c>
      <c r="AK27" s="36">
        <f>139916.5*1.00778546661946</f>
        <v>141005.81524026167</v>
      </c>
      <c r="AL27" s="36">
        <f>14421.73*1.00079414022027</f>
        <v>14433.182875838875</v>
      </c>
      <c r="AM27" s="36">
        <f>9619.65*1.00052950103493</f>
        <v>9624.7436146306645</v>
      </c>
      <c r="AN27" s="36">
        <f>6121.734*1.0003368655175</f>
        <v>6123.7962010919082</v>
      </c>
      <c r="AO27">
        <f>96699.86*1.00536132641014</f>
        <v>97218.299513274833</v>
      </c>
      <c r="AP27">
        <f>139515.5*1.0077628925928</f>
        <v>140598.54384153077</v>
      </c>
      <c r="AQ27">
        <f>13970.69*1.00076927479132</f>
        <v>13981.437299634346</v>
      </c>
      <c r="AR27">
        <f>9556.109*1.00052600074345</f>
        <v>9561.135520438489</v>
      </c>
      <c r="AS27">
        <f>6051.942*1.00033302309888</f>
        <v>6053.9574364790824</v>
      </c>
      <c r="AT27" s="36">
        <f>89411.32*1.00495421672522</f>
        <v>89854.283056967994</v>
      </c>
      <c r="AU27" s="36">
        <f>138137.4*1.00768532496586</f>
        <v>139199.03080893899</v>
      </c>
      <c r="AV27" s="36">
        <f>13352.98*1.0007352240032</f>
        <v>13362.797431410248</v>
      </c>
      <c r="AW27" s="36">
        <f>9239.442*1.00050855701429</f>
        <v>9244.1407830372245</v>
      </c>
      <c r="AX27" s="36">
        <f>6020.692*1.0003313026355</f>
        <v>6022.6866711271341</v>
      </c>
      <c r="AY27">
        <f>109598.8*1.00608302767183</f>
        <v>110265.49253319936</v>
      </c>
      <c r="AZ27">
        <f>143811.3*1.00800480091755</f>
        <v>144962.48082619405</v>
      </c>
      <c r="BA27">
        <f>15218.61*1.00083807602851</f>
        <v>15231.364352228244</v>
      </c>
      <c r="BB27">
        <f>9407.15*1.00051779516331</f>
        <v>9412.020976770531</v>
      </c>
      <c r="BC27">
        <f>6083.192*1.00033474357113</f>
        <v>6085.2283094139502</v>
      </c>
      <c r="BD27" s="36">
        <f>95459.23*1.00529199461289</f>
        <v>95964.39973091062</v>
      </c>
      <c r="BE27" s="36">
        <f>145964.4*1.00812611362161</f>
        <v>147150.52329911012</v>
      </c>
      <c r="BF27" s="36">
        <f>13495.69*1.00074309047325</f>
        <v>13505.718518668935</v>
      </c>
      <c r="BG27" s="36">
        <f>9240.484*1.00050861441179</f>
        <v>9245.1838433343164</v>
      </c>
      <c r="BH27" s="36">
        <f>5936.317*1.00032665742872</f>
        <v>5938.2561420472866</v>
      </c>
      <c r="BI27">
        <f>96011.32*1.00532284602766</f>
        <v>96522.373473272397</v>
      </c>
      <c r="BJ27">
        <f>143520.7*1.00798843092429</f>
        <v>144667.20519815575</v>
      </c>
      <c r="BK27">
        <f>14191.53*1.00078144926998</f>
        <v>14202.6199607584</v>
      </c>
      <c r="BL27">
        <f>9399.859*1.00051739353526</f>
        <v>9404.7224262789568</v>
      </c>
      <c r="BM27">
        <f>6181.109*1.00034013446005</f>
        <v>6183.2114081722257</v>
      </c>
      <c r="BN27" s="36">
        <f>112958.2*1.00627124326405</f>
        <v>113666.58835086921</v>
      </c>
      <c r="BO27" s="36">
        <f>147400.9*1.00820707515866</f>
        <v>148610.63026475412</v>
      </c>
      <c r="BP27" s="36">
        <f>14767.57*1.00081320732377</f>
        <v>14779.579096078287</v>
      </c>
      <c r="BQ27" s="36">
        <f>9864.442*1.00054298626772</f>
        <v>9869.7982565447201</v>
      </c>
      <c r="BR27" s="36">
        <f>6256.109*1.00034426369645</f>
        <v>6258.2627512097342</v>
      </c>
    </row>
    <row r="28" spans="1:70" x14ac:dyDescent="0.15">
      <c r="A28">
        <f>100655.1*1.00558245837966</f>
        <v>101217.00290645052</v>
      </c>
      <c r="B28">
        <f>135087.4*1.00751371672404</f>
        <v>136102.40845658709</v>
      </c>
      <c r="C28">
        <f>14480.07*1.00079735658734</f>
        <v>14491.615779199645</v>
      </c>
      <c r="D28">
        <f>9458.192*1.00052060684863</f>
        <v>9463.1159995308572</v>
      </c>
      <c r="E28">
        <f>6109.234*1.00033617732315</f>
        <v>6111.2877859326181</v>
      </c>
      <c r="F28" s="36">
        <f>107067.6*1.00594128314655</f>
        <v>107703.71892742156</v>
      </c>
      <c r="G28" s="36">
        <f>140388.4*1.00781203386189</f>
        <v>141485.11893461656</v>
      </c>
      <c r="H28" s="36">
        <f>15229.03*1.00083865057131</f>
        <v>15241.801834709999</v>
      </c>
      <c r="I28" s="36">
        <f>9610.275*1.00052898459076</f>
        <v>9615.3586873879649</v>
      </c>
      <c r="J28" s="36">
        <f>6184.234*1.00034030651054</f>
        <v>6186.3385350929038</v>
      </c>
      <c r="K28">
        <f>120270.7*1.00668130361892</f>
        <v>121074.26506316003</v>
      </c>
      <c r="L28">
        <f>141316.5*1.00786429060581</f>
        <v>142427.85402339595</v>
      </c>
      <c r="M28">
        <f>15697.78*1.00086449775065</f>
        <v>15711.350695500199</v>
      </c>
      <c r="N28">
        <f>9485.275*1.00052209874481</f>
        <v>9490.227250171678</v>
      </c>
      <c r="O28">
        <f>6298.817*1.00034661507168</f>
        <v>6301.0002649059543</v>
      </c>
      <c r="P28" s="36">
        <f>80157.15*1.0044380275519</f>
        <v>80512.889640181776</v>
      </c>
      <c r="Q28" s="36">
        <f>136212.4*1.00757700461661</f>
        <v>137244.4819836395</v>
      </c>
      <c r="R28" s="36">
        <f>11444.65*1.00063005073754</f>
        <v>11451.860710173387</v>
      </c>
      <c r="S28" s="36">
        <f>8837.359*1.00048640942527</f>
        <v>8841.6575747120933</v>
      </c>
      <c r="T28" s="36">
        <f>5740.484*1.00031587622892</f>
        <v>5742.2972824380959</v>
      </c>
      <c r="U28">
        <f>84155.07*1.00466093013593</f>
        <v>84547.310901854304</v>
      </c>
      <c r="V28">
        <f>136259.2*1.00757963765193</f>
        <v>137291.99536274187</v>
      </c>
      <c r="W28">
        <f>12201.94*1.00067178308317</f>
        <v>12210.137056873855</v>
      </c>
      <c r="X28">
        <f>8984.234*1.00049449944293</f>
        <v>8988.6766987081519</v>
      </c>
      <c r="Y28">
        <f>5799.859*1.00031914496568</f>
        <v>5801.7099958015051</v>
      </c>
      <c r="Z28" s="36">
        <f>91109.23*1.00504901115971</f>
        <v>91569.241519022573</v>
      </c>
      <c r="AA28" s="36">
        <f>139011.3*1.00773451114895</f>
        <v>140086.48444968002</v>
      </c>
      <c r="AB28" s="36">
        <f>13791.53*1.00075939837632</f>
        <v>13802.003265488971</v>
      </c>
      <c r="AC28" s="36">
        <f>9697.775*1.00053380476752</f>
        <v>9702.9517185293371</v>
      </c>
      <c r="AD28" s="36">
        <f>6252.984*1.00034409164391</f>
        <v>6255.1355995439026</v>
      </c>
      <c r="AE28">
        <f>103817.6*1.00575937455729</f>
        <v>104415.52444403891</v>
      </c>
      <c r="AF28">
        <f>137388.4*1.00764317434114</f>
        <v>138438.48349365027</v>
      </c>
      <c r="AG28">
        <f>14366.53*1.00079109699443</f>
        <v>14377.895318703389</v>
      </c>
      <c r="AH28">
        <f>9472.775*1.00052141016804</f>
        <v>9477.7142012045551</v>
      </c>
      <c r="AI28">
        <f>6142.567*1.00033801249288</f>
        <v>6144.6432643843527</v>
      </c>
      <c r="AJ28" s="36">
        <f>98162.36*1.00544307572353</f>
        <v>98696.665158680407</v>
      </c>
      <c r="AK28" s="36">
        <f>139933.2*1.00778640676777</f>
        <v>141022.77681551571</v>
      </c>
      <c r="AL28" s="36">
        <f>14055.07*1.00077392644375</f>
        <v>14065.947590341759</v>
      </c>
      <c r="AM28" s="36">
        <f>9564.442*1.00052645978243</f>
        <v>9569.4772940543826</v>
      </c>
      <c r="AN28" s="36">
        <f>6180.067*1.00034007709155</f>
        <v>6182.1686992109444</v>
      </c>
      <c r="AO28">
        <f>96545.69*1.00535270993854</f>
        <v>97062.471074386209</v>
      </c>
      <c r="AP28">
        <f>139819.7*1.00778001718901</f>
        <v>140907.49966936221</v>
      </c>
      <c r="AQ28">
        <f>13763.4*1.0007578477021</f>
        <v>13773.830561063083</v>
      </c>
      <c r="AR28">
        <f>9316.525*1.00051280307835</f>
        <v>9321.3025426995246</v>
      </c>
      <c r="AS28">
        <f>6249.859*1.00034391959146</f>
        <v>6252.0084489539631</v>
      </c>
      <c r="AT28" s="36">
        <f>92068.61*1.00510258529339</f>
        <v>92538.397935368848</v>
      </c>
      <c r="AU28" s="36">
        <f>137870.7*1.00767031558419</f>
        <v>138928.21177881319</v>
      </c>
      <c r="AV28" s="36">
        <f>13671.73*1.00075279441739</f>
        <v>13682.022002020063</v>
      </c>
      <c r="AW28" s="36">
        <f>9207.15*1.00050677824775</f>
        <v>9211.8159833437694</v>
      </c>
      <c r="AX28" s="36">
        <f>6180.067*1.00034007709155</f>
        <v>6182.1686992109444</v>
      </c>
      <c r="AY28">
        <f>111396.7*1.00618374464336</f>
        <v>112085.54874691297</v>
      </c>
      <c r="AZ28">
        <f>144167.6*1.0080248729949</f>
        <v>145324.52667997955</v>
      </c>
      <c r="BA28">
        <f>15231.11*1.00083876525944</f>
        <v>15243.885325930709</v>
      </c>
      <c r="BB28">
        <f>9711.317*1.00053455077185</f>
        <v>9716.5081919980294</v>
      </c>
      <c r="BC28">
        <f>6220.692*1.00034231375454</f>
        <v>6222.8214284343567</v>
      </c>
      <c r="BD28" s="36">
        <f>94257.15*1.00522483086022</f>
        <v>94749.627666116387</v>
      </c>
      <c r="BE28" s="36">
        <f>144387.4*1.00803725597607</f>
        <v>145547.87849351921</v>
      </c>
      <c r="BF28" s="36">
        <f>14162.36*1.00077984115927</f>
        <v>14173.404391240401</v>
      </c>
      <c r="BG28" s="36">
        <f>9418.609*1.00051842638851</f>
        <v>9423.4918554486594</v>
      </c>
      <c r="BH28" s="36">
        <f>5975.9*1.00032883663512</f>
        <v>5977.8650948478125</v>
      </c>
      <c r="BI28">
        <f>95061.32*1.00526976071532</f>
        <v>95562.270409682475</v>
      </c>
      <c r="BJ28">
        <f>144506.1*1.00804394342684</f>
        <v>145668.49889323328</v>
      </c>
      <c r="BK28">
        <f>13320.69*1.00073344413743</f>
        <v>13330.459981987024</v>
      </c>
      <c r="BL28">
        <f>9290.484*1.00051136862172</f>
        <v>9295.2348619981913</v>
      </c>
      <c r="BM28">
        <f>6257.15*1.00034432101061</f>
        <v>6259.3044682115378</v>
      </c>
      <c r="BN28" s="36">
        <f>110836.3*1.0061523482167</f>
        <v>111518.20351265064</v>
      </c>
      <c r="BO28" s="36">
        <f>146468.6*1.00815452824594</f>
        <v>147662.98233584332</v>
      </c>
      <c r="BP28" s="36">
        <f>15190.48*1.00083652498842</f>
        <v>15203.187216106093</v>
      </c>
      <c r="BQ28" s="36">
        <f>9699.859*1.00053391957121</f>
        <v>9705.0379445580766</v>
      </c>
      <c r="BR28" s="36">
        <f>6505.067*1.00035797081558</f>
        <v>6507.3956241393935</v>
      </c>
    </row>
    <row r="29" spans="1:70" x14ac:dyDescent="0.15">
      <c r="A29">
        <f>101092.6*1.00560692737561</f>
        <v>101659.41886641161</v>
      </c>
      <c r="B29">
        <f>135055.1*1.00751189983484</f>
        <v>136069.62038338432</v>
      </c>
      <c r="C29">
        <f>14371.73*1.00079138367394</f>
        <v>14383.103552488272</v>
      </c>
      <c r="D29">
        <f>9343.609*1.0005142949947</f>
        <v>9348.414371341134</v>
      </c>
      <c r="E29">
        <f>5961.317*1.00032803377954</f>
        <v>5963.2725133465456</v>
      </c>
      <c r="F29" s="36">
        <f>108206.1*1.00600503051598</f>
        <v>108855.8809325152</v>
      </c>
      <c r="G29" s="36">
        <f>141087.4*1.00785139035476</f>
        <v>142195.13225153813</v>
      </c>
      <c r="H29" s="36">
        <f>14797.78*1.00081487293533</f>
        <v>14809.838310424966</v>
      </c>
      <c r="I29" s="36">
        <f>9544.65*1.00052536950391</f>
        <v>9549.6644680354948</v>
      </c>
      <c r="J29" s="36">
        <f>6313.4*1.00034741797201</f>
        <v>6315.5933886244875</v>
      </c>
      <c r="K29">
        <f>121520.7*1.00675144969124</f>
        <v>122341.14089249427</v>
      </c>
      <c r="L29">
        <f>141451.9*1.00787191499462</f>
        <v>142565.3973326275</v>
      </c>
      <c r="M29">
        <f>15847.78*1.00087276927111</f>
        <v>15861.61145539931</v>
      </c>
      <c r="N29">
        <f>9441.525*1.00051968873233</f>
        <v>9446.4316541585122</v>
      </c>
      <c r="O29">
        <f>6208.192*1.00034162554894</f>
        <v>6210.3128769999239</v>
      </c>
      <c r="P29" s="36">
        <f>80348.82*1.00444871065282</f>
        <v>80706.268651475519</v>
      </c>
      <c r="Q29" s="36">
        <f>136383.2*1.00758661417034</f>
        <v>137417.88671771632</v>
      </c>
      <c r="R29" s="36">
        <f>11406.11*1.0006279270348</f>
        <v>11413.272204830902</v>
      </c>
      <c r="S29" s="36">
        <f>8889.442*1.00048927818504</f>
        <v>8893.7914100477774</v>
      </c>
      <c r="T29" s="36">
        <f>5675.9*1.00031232076054</f>
        <v>5677.6727014047483</v>
      </c>
      <c r="U29">
        <f>87209.23*1.00483131389078</f>
        <v>87630.565164303232</v>
      </c>
      <c r="V29">
        <f>137798.8*1.0076662693005</f>
        <v>138855.20271008575</v>
      </c>
      <c r="W29">
        <f>12609.23*1.00069422996972</f>
        <v>12617.983705361092</v>
      </c>
      <c r="X29">
        <f>9105.067*1.00050115518909</f>
        <v>9109.6300515740622</v>
      </c>
      <c r="Y29">
        <f>5877.984*1.00032344598393</f>
        <v>5879.8852103184054</v>
      </c>
      <c r="Z29" s="36">
        <f>91558.19*1.00507408111975</f>
        <v>92022.763683237485</v>
      </c>
      <c r="AA29" s="36">
        <f>140014.4*1.00779097806538</f>
        <v>141105.24911923733</v>
      </c>
      <c r="AB29" s="36">
        <f>13349.86*1.00073505202443</f>
        <v>13359.672841618858</v>
      </c>
      <c r="AC29" s="36">
        <f>9488.4*1.00052227088923</f>
        <v>9493.3555151053697</v>
      </c>
      <c r="AD29" s="36">
        <f>6261.317*1.00034455043253</f>
        <v>6263.4743394805564</v>
      </c>
      <c r="AE29">
        <f>106612.4*1.00591579879455</f>
        <v>107243.09750740408</v>
      </c>
      <c r="AF29">
        <f>138683.2*1.00771604367401</f>
        <v>139753.28562805147</v>
      </c>
      <c r="AG29">
        <f>14707.15*1.00080987612561</f>
        <v>14719.060969660763</v>
      </c>
      <c r="AH29">
        <f>9514.442*1.00052370544784</f>
        <v>9519.424765108557</v>
      </c>
      <c r="AI29">
        <f>6313.4*1.00034741797201</f>
        <v>6315.5933886244875</v>
      </c>
      <c r="AJ29" s="36">
        <f>100101.9*1.00555152094444</f>
        <v>100657.61779442822</v>
      </c>
      <c r="AK29" s="36">
        <f>139864.4*1.00778253359888</f>
        <v>140952.89939228719</v>
      </c>
      <c r="AL29" s="36">
        <f>14060.28*1.00077421365978</f>
        <v>14071.165660836332</v>
      </c>
      <c r="AM29" s="36">
        <f>9419.65*1.00051848373262</f>
        <v>9424.5339352919727</v>
      </c>
      <c r="AN29" s="36">
        <f>6167.567*1.00033938889057</f>
        <v>6169.6602037216462</v>
      </c>
      <c r="AO29">
        <f>99129.03*1.00549712061062</f>
        <v>99673.954233923767</v>
      </c>
      <c r="AP29">
        <f>140622.8*1.00782523100339</f>
        <v>141723.2058943435</v>
      </c>
      <c r="AQ29">
        <f>14045.69*1.00077340934527</f>
        <v>14056.553067906767</v>
      </c>
      <c r="AR29">
        <f>9571.734*1.00052686147649</f>
        <v>9576.7769779078099</v>
      </c>
      <c r="AS29">
        <f>6142.567*1.00033801249288</f>
        <v>6144.6432643843527</v>
      </c>
      <c r="AT29" s="36">
        <f>90780.07*1.0050306320344</f>
        <v>91236.751128227086</v>
      </c>
      <c r="AU29" s="36">
        <f>138121.7*1.00768444138034</f>
        <v>139183.08810700293</v>
      </c>
      <c r="AV29" s="36">
        <f>13842.57*1.0007622119892</f>
        <v>13853.120972815339</v>
      </c>
      <c r="AW29" s="36">
        <f>9315.484*1.00051274573522</f>
        <v>9320.2604746925117</v>
      </c>
      <c r="AX29" s="36">
        <f>6161.317*1.00033904479062</f>
        <v>6163.4059624322081</v>
      </c>
      <c r="AY29">
        <f>111329*1.00617995159247</f>
        <v>112017.00783083811</v>
      </c>
      <c r="AZ29">
        <f>144801.9*1.00806060911216</f>
        <v>145969.09151459808</v>
      </c>
      <c r="BA29">
        <f>15444.65*1.00085053974932</f>
        <v>15457.786288739333</v>
      </c>
      <c r="BB29">
        <f>9542.567*1.00052525475825</f>
        <v>9547.5792787226674</v>
      </c>
      <c r="BC29">
        <f>6274.859*1.00034529601354</f>
        <v>6277.0256837982261</v>
      </c>
      <c r="BD29" s="36">
        <f>94986.32*1.00526557012835</f>
        <v>95486.477129193896</v>
      </c>
      <c r="BE29" s="36">
        <f>144784.2*1.00805961185211</f>
        <v>145951.10445431827</v>
      </c>
      <c r="BF29" s="36">
        <f>13771.73*1.00075830689496</f>
        <v>13782.173197814525</v>
      </c>
      <c r="BG29" s="36">
        <f>9299.859*1.00051188503861</f>
        <v>9304.6194586832844</v>
      </c>
      <c r="BH29" s="36">
        <f>5979.025*1.00032900867979</f>
        <v>5980.9921511216808</v>
      </c>
      <c r="BI29">
        <f>97962.36*1.00543189515116</f>
        <v>98494.4812682802</v>
      </c>
      <c r="BJ29">
        <f>144563.4*1.00804717170483</f>
        <v>145726.72650203403</v>
      </c>
      <c r="BK29">
        <f>13650.9*1.00075164617977</f>
        <v>13661.160646835424</v>
      </c>
      <c r="BL29">
        <f>9387.359*1.0005167049682</f>
        <v>9392.2094950335777</v>
      </c>
      <c r="BM29">
        <f>6057.15*1.00033330982529</f>
        <v>6059.1689076082548</v>
      </c>
      <c r="BN29" s="36">
        <f>112592.6*1.00625075482496</f>
        <v>113296.38873770479</v>
      </c>
      <c r="BO29" s="36">
        <f>146939.4*1.00818106275921</f>
        <v>148141.52045320068</v>
      </c>
      <c r="BP29" s="36">
        <f>16209.23*1.00089270172098</f>
        <v>16223.700007516762</v>
      </c>
      <c r="BQ29" s="36">
        <f>9940.484*1.00054717542116</f>
        <v>9945.923188519233</v>
      </c>
      <c r="BR29" s="36">
        <f>6389.442*1.00035160466909</f>
        <v>6391.6885576400791</v>
      </c>
    </row>
    <row r="30" spans="1:70" x14ac:dyDescent="0.15">
      <c r="A30">
        <f>99892.57*1.00553981501411</f>
        <v>100445.95635908404</v>
      </c>
      <c r="B30">
        <f>135900.9*1.00755947970565</f>
        <v>136928.24009552956</v>
      </c>
      <c r="C30">
        <f>14391.53*1.00079247526357</f>
        <v>14402.934931529926</v>
      </c>
      <c r="D30">
        <f>9421.734*1.00051859853103</f>
        <v>9426.6200974121566</v>
      </c>
      <c r="E30">
        <f>5932.15*1.00032642801912</f>
        <v>5934.0864199736225</v>
      </c>
      <c r="F30" s="36">
        <f>108381.1*1.00601483026601</f>
        <v>109032.99392054345</v>
      </c>
      <c r="G30" s="36">
        <f>140660.3*1.00782734236905</f>
        <v>141761.29632583327</v>
      </c>
      <c r="H30" s="36">
        <f>14899.86*1.00082050112093</f>
        <v>14912.0853518317</v>
      </c>
      <c r="I30" s="36">
        <f>9633.192*1.00053024702963</f>
        <v>9638.2999714438538</v>
      </c>
      <c r="J30" s="36">
        <f>6170.692*1.00033956094068</f>
        <v>6172.7873259801663</v>
      </c>
      <c r="K30">
        <f>119799.9*1.00665488761105</f>
        <v>120597.15487031502</v>
      </c>
      <c r="L30">
        <f>140838.4*1.00783737012993</f>
        <v>141942.20266930712</v>
      </c>
      <c r="M30">
        <f>15944.65*1.00087811112804</f>
        <v>15958.651174597704</v>
      </c>
      <c r="N30">
        <f>9298.817*1.00051182764056</f>
        <v>9303.5763915651078</v>
      </c>
      <c r="O30">
        <f>6329.025*1.00034827824417</f>
        <v>6331.2292617143075</v>
      </c>
      <c r="P30" s="36">
        <f>79343.61*1.00439268711375</f>
        <v>79692.141653205414</v>
      </c>
      <c r="Q30" s="36">
        <f>135966.5*1.00756317026882</f>
        <v>136994.83779035549</v>
      </c>
      <c r="R30" s="36">
        <f>11625.9*1.00064003849341</f>
        <v>11633.341023520536</v>
      </c>
      <c r="S30" s="36">
        <f>8800.9*1.00048440125855</f>
        <v>8805.1631670363731</v>
      </c>
      <c r="T30" s="36">
        <f>5804.025*1.00031937431522</f>
        <v>5805.8786565098935</v>
      </c>
      <c r="U30">
        <f>85304.03*1.00472501748254</f>
        <v>85707.09303308111</v>
      </c>
      <c r="V30">
        <f>137409.2*1.00764434480762</f>
        <v>138459.60330453923</v>
      </c>
      <c r="W30">
        <f>12021.73*1.00066185169017</f>
        <v>12029.686602319267</v>
      </c>
      <c r="X30">
        <f>9019.65*1.00049645021998</f>
        <v>9024.1278072266432</v>
      </c>
      <c r="Y30">
        <f>5793.609*1.00031880088662</f>
        <v>5795.4560076859298</v>
      </c>
      <c r="Z30" s="36">
        <f>92692.57*1.00513743335674</f>
        <v>93168.77190103996</v>
      </c>
      <c r="AA30" s="36">
        <f>140848.8*1.00783795570188</f>
        <v>141952.76665506294</v>
      </c>
      <c r="AB30" s="36">
        <f>14190.48*1.00078139138447</f>
        <v>14201.568318813495</v>
      </c>
      <c r="AC30" s="36">
        <f>9754.025*1.00053690348938</f>
        <v>9759.2619700579999</v>
      </c>
      <c r="AD30" s="36">
        <f>6300.9*1.00034672975588</f>
        <v>6303.0847095188237</v>
      </c>
      <c r="AE30">
        <f>106372.8*1.00590238557854</f>
        <v>107000.65328066894</v>
      </c>
      <c r="AF30">
        <f>137773.8*1.00766486239829</f>
        <v>138829.81721908951</v>
      </c>
      <c r="AG30">
        <f>14689.44*1.00080889970823</f>
        <v>14701.322283730064</v>
      </c>
      <c r="AH30">
        <f>9451.942*1.00052026256161</f>
        <v>9456.8594915571084</v>
      </c>
      <c r="AI30">
        <f>6232.15*1.00034294459256</f>
        <v>6234.2872821425226</v>
      </c>
      <c r="AJ30" s="36">
        <f>98120.69*1.00544074622047</f>
        <v>98654.539773267403</v>
      </c>
      <c r="AK30" s="36">
        <f>139836.3*1.00778095169248</f>
        <v>140924.35949515513</v>
      </c>
      <c r="AL30" s="36">
        <f>13840.48*1.00076209677614</f>
        <v>13851.027785188229</v>
      </c>
      <c r="AM30" s="36">
        <f>9663.4*1.00053191111834</f>
        <v>9668.540069900966</v>
      </c>
      <c r="AN30" s="36">
        <f>6234.234*1.00034305933055</f>
        <v>6236.3727121425327</v>
      </c>
      <c r="AO30">
        <f>95864.44*1.00531463792906</f>
        <v>96373.9247888721</v>
      </c>
      <c r="AP30">
        <f>138586.3*1.00771058974395</f>
        <v>139654.88210343197</v>
      </c>
      <c r="AQ30">
        <f>14195.69*1.00078167860693</f>
        <v>14206.786467183609</v>
      </c>
      <c r="AR30">
        <f>9476.942*1.00052163971184</f>
        <v>9481.8855492940038</v>
      </c>
      <c r="AS30">
        <f>6277.984*1.0003454680667</f>
        <v>6280.152842995255</v>
      </c>
      <c r="AT30" s="36">
        <f>91267.57*1.00505785266269</f>
        <v>91729.187921941761</v>
      </c>
      <c r="AU30" s="36">
        <f>139190.5*1.00774459805082</f>
        <v>140268.47447499266</v>
      </c>
      <c r="AV30" s="36">
        <f>13462.36*1.00074125323818</f>
        <v>13472.339017943546</v>
      </c>
      <c r="AW30" s="36">
        <f>9425.9*1.0005188280178</f>
        <v>9430.79042101298</v>
      </c>
      <c r="AX30" s="36">
        <f>6056.109*1.00033325251302</f>
        <v>6058.1272135433728</v>
      </c>
      <c r="AY30">
        <f>110347.8*1.00612498239171</f>
        <v>111023.67833196394</v>
      </c>
      <c r="AZ30">
        <f>145266.5*1.00808678684116</f>
        <v>146441.23922066137</v>
      </c>
      <c r="BA30">
        <f>15489.44*1.00085300950049</f>
        <v>15502.65263947727</v>
      </c>
      <c r="BB30">
        <f>9675.9*1.0005325997168</f>
        <v>9681.0533815997842</v>
      </c>
      <c r="BC30">
        <f>6113.4*1.0003364066844</f>
        <v>6115.4565886244109</v>
      </c>
      <c r="BD30" s="36">
        <f>95160.28*1.00527529013547</f>
        <v>95662.278086372564</v>
      </c>
      <c r="BE30" s="36">
        <f>145115.5*1.00807827857327</f>
        <v>146287.78343429937</v>
      </c>
      <c r="BF30" s="36">
        <f>14693.61*1.0008091296154</f>
        <v>14705.499035008139</v>
      </c>
      <c r="BG30" s="36">
        <f>9394.65*1.00051710659542</f>
        <v>9399.5080354766615</v>
      </c>
      <c r="BH30" s="36">
        <f>5942.567*1.00032700151589</f>
        <v>5944.5102284172781</v>
      </c>
      <c r="BI30">
        <f>95943.61*1.00531906216307</f>
        <v>96453.940025739357</v>
      </c>
      <c r="BJ30">
        <f>143878*1.00800855835504</f>
        <v>145030.25535900643</v>
      </c>
      <c r="BK30">
        <f>14544.65*1.00080091701064</f>
        <v>14556.299057598804</v>
      </c>
      <c r="BL30">
        <f>9476.942*1.00052163971184</f>
        <v>9481.8855492940038</v>
      </c>
      <c r="BM30">
        <f>6071.734*1.00033411274863</f>
        <v>6073.7626437356912</v>
      </c>
      <c r="BN30" s="36">
        <f>110319.7*1.0061234082946</f>
        <v>110995.23256603778</v>
      </c>
      <c r="BO30" s="36">
        <f>146948.8*1.00818159256909</f>
        <v>148151.07521011669</v>
      </c>
      <c r="BP30" s="36">
        <f>15197.78*1.00083692749724</f>
        <v>15210.499439979005</v>
      </c>
      <c r="BQ30" s="36">
        <f>9793.609*1.00053908412542</f>
        <v>9798.8885791424709</v>
      </c>
      <c r="BR30" s="36">
        <f>6527.984*1.00035923260713</f>
        <v>6530.3290647116237</v>
      </c>
    </row>
    <row r="31" spans="1:70" x14ac:dyDescent="0.15">
      <c r="A31">
        <f>101089.4*1.00560674839589</f>
        <v>101656.18283129147</v>
      </c>
      <c r="B31">
        <f>135772.8*1.00755227309811</f>
        <v>136798.19326489503</v>
      </c>
      <c r="C31">
        <f>14386.32*1.00079218803181</f>
        <v>14397.71667052579</v>
      </c>
      <c r="D31">
        <f>9242.567*1.00050872915172</f>
        <v>9247.2689632696256</v>
      </c>
      <c r="E31">
        <f>6058.192*1.00033336719262</f>
        <v>6060.2116024593934</v>
      </c>
      <c r="F31" s="36">
        <f>111017.6*1.00616250523236</f>
        <v>111701.74654088405</v>
      </c>
      <c r="G31" s="36">
        <f>142122.8*1.00790969600609</f>
        <v>143246.94814353433</v>
      </c>
      <c r="H31" s="36">
        <f>15132.15*1.00083330879498</f>
        <v>15144.759753681954</v>
      </c>
      <c r="I31" s="36">
        <f>9672.775*1.00053242756705</f>
        <v>9677.9250520598707</v>
      </c>
      <c r="J31" s="36">
        <f>6270.692*1.00034506659112</f>
        <v>6272.8558063124037</v>
      </c>
      <c r="K31">
        <f>122372.8*1.00679927528899</f>
        <v>123204.84635508452</v>
      </c>
      <c r="L31">
        <f>142332.2*1.00792148901385</f>
        <v>143459.68295861711</v>
      </c>
      <c r="M31">
        <f>15481.11*1.00085255017722</f>
        <v>15494.308423074064</v>
      </c>
      <c r="N31">
        <f>9316.525*1.00051280307835</f>
        <v>9321.3025426995246</v>
      </c>
      <c r="O31">
        <f>6386.317*1.00035143261277</f>
        <v>6388.5613600692877</v>
      </c>
      <c r="P31" s="36">
        <f>80801.94*1.00447396753635</f>
        <v>81163.445256434105</v>
      </c>
      <c r="Q31" s="36">
        <f>137594.7*1.00765478352356</f>
        <v>138647.9576424892</v>
      </c>
      <c r="R31" s="36">
        <f>11211.32*1.00061719356097</f>
        <v>11218.239554513973</v>
      </c>
      <c r="S31" s="36">
        <f>8943.609*1.00049226175883</f>
        <v>8948.0115966966296</v>
      </c>
      <c r="T31" s="36">
        <f>5724.859*1.00031501604036</f>
        <v>5726.6624224137995</v>
      </c>
      <c r="U31">
        <f>83541.53*1.00462671278153</f>
        <v>83928.052664639574</v>
      </c>
      <c r="V31">
        <f>136654*1.00760185049135</f>
        <v>137692.82327704495</v>
      </c>
      <c r="W31">
        <f>12230.07*1.00067333335727</f>
        <v>12238.304914092747</v>
      </c>
      <c r="X31">
        <f>9143.609*1.00050327819478</f>
        <v>9148.2107790312948</v>
      </c>
      <c r="Y31">
        <f>5901.942*1.00032476495563</f>
        <v>5903.8587439317607</v>
      </c>
      <c r="Z31" s="36">
        <f>90210.28*1.00499881937152</f>
        <v>90661.224895174251</v>
      </c>
      <c r="AA31" s="36">
        <f>139936.3*1.0077865812866</f>
        <v>141025.92537489603</v>
      </c>
      <c r="AB31" s="36">
        <f>14177.98*1.0007807022721</f>
        <v>14189.048781199788</v>
      </c>
      <c r="AC31" s="36">
        <f>9796.734*1.0005392562786</f>
        <v>9802.0169503192737</v>
      </c>
      <c r="AD31" s="36">
        <f>6359.234*1.00034994148001</f>
        <v>6361.4593597576913</v>
      </c>
      <c r="AE31">
        <f>106720.7*1.00592186178938</f>
        <v>107352.68523546588</v>
      </c>
      <c r="AF31">
        <f>138297.8*1.00769435230431</f>
        <v>139361.91199611098</v>
      </c>
      <c r="AG31">
        <f>15718.61*1.00086564637686</f>
        <v>15732.216757795775</v>
      </c>
      <c r="AH31">
        <f>9325.9*1.00051331949746</f>
        <v>9330.6871663013626</v>
      </c>
      <c r="AI31">
        <f>6176.942*1.00033990504117</f>
        <v>6179.041573724815</v>
      </c>
      <c r="AJ31" s="36">
        <f>97767.57*1.00542100619184</f>
        <v>98297.568602331157</v>
      </c>
      <c r="AK31" s="36">
        <f>139625.9*1.00776910733524</f>
        <v>140710.66860387949</v>
      </c>
      <c r="AL31" s="36">
        <f>13907.15*1.00076577203733</f>
        <v>13917.799706588954</v>
      </c>
      <c r="AM31" s="36">
        <f>9409.234*1.00051790996148</f>
        <v>9414.1071360184978</v>
      </c>
      <c r="AN31" s="36">
        <f>6293.609*1.00034632833383</f>
        <v>6295.7886551187485</v>
      </c>
      <c r="AO31">
        <f>94539.44*1.00524060202311</f>
        <v>95034.88358052769</v>
      </c>
      <c r="AP31">
        <f>138795.7*1.00772237574751</f>
        <v>139867.53254753869</v>
      </c>
      <c r="AQ31">
        <f>14288.4*1.00078678966445</f>
        <v>14299.641965441528</v>
      </c>
      <c r="AR31">
        <f>9529.025*1.00052450877472</f>
        <v>9534.0230572270266</v>
      </c>
      <c r="AS31">
        <f>6419.65*1.00035326786647</f>
        <v>6421.9178560589835</v>
      </c>
      <c r="AT31" s="36">
        <f>91259.23*1.00505738696193</f>
        <v>91720.763239957756</v>
      </c>
      <c r="AU31" s="36">
        <f>138655.1*1.00771446208144</f>
        <v>139724.74951134829</v>
      </c>
      <c r="AV31" s="36">
        <f>14313.4*1.00078816791578</f>
        <v>14324.681362645724</v>
      </c>
      <c r="AW31" s="36">
        <f>9308.192*1.00051234405816</f>
        <v>9312.9609968634122</v>
      </c>
      <c r="AX31" s="36">
        <f>6143.609*1.00033806986102</f>
        <v>6145.6859690407919</v>
      </c>
      <c r="AY31">
        <f>111370.7*1.00618228792745</f>
        <v>112059.22573408166</v>
      </c>
      <c r="AZ31">
        <f>145432.2*1.0080961236459</f>
        <v>146609.63707329528</v>
      </c>
      <c r="BA31">
        <f>15190.48*1.00083652498842</f>
        <v>15203.187216106093</v>
      </c>
      <c r="BB31">
        <f>9770.692*1.00053782165308</f>
        <v>9775.9468897231745</v>
      </c>
      <c r="BC31">
        <f>6261.317*1.00034455043253</f>
        <v>6263.4743394805564</v>
      </c>
      <c r="BD31" s="36">
        <f>96190.48*1.00533285830293</f>
        <v>96703.450199930812</v>
      </c>
      <c r="BE31" s="36">
        <f>145937.4*1.00812459208135</f>
        <v>147123.08184441281</v>
      </c>
      <c r="BF31" s="36">
        <f>14226.94*1.00078340139559</f>
        <v>14238.085404650978</v>
      </c>
      <c r="BG31" s="36">
        <f>9415.484*1.00051825424608</f>
        <v>9420.3636145618984</v>
      </c>
      <c r="BH31" s="36">
        <f>6080.067*1.00033457152351</f>
        <v>6082.1012172792325</v>
      </c>
      <c r="BI31">
        <f>96054.03*1.00532523282942</f>
        <v>96565.540073954093</v>
      </c>
      <c r="BJ31">
        <f>144288.4*1.00803167850755</f>
        <v>145447.27804116879</v>
      </c>
      <c r="BK31">
        <f>14248.82*1.00078460762859</f>
        <v>14259.999732870405</v>
      </c>
      <c r="BL31">
        <f>9342.567*1.00051423759623</f>
        <v>9347.3712991966968</v>
      </c>
      <c r="BM31">
        <f>6022.775*1.00033141731443</f>
        <v>6024.7710519159155</v>
      </c>
      <c r="BN31" s="36">
        <f>110849.9*1.00615311012224</f>
        <v>111531.97164173929</v>
      </c>
      <c r="BO31" s="36">
        <f>147407.2*1.00820743027147</f>
        <v>148617.03431551266</v>
      </c>
      <c r="BP31" s="36">
        <f>15959.23*1.00087891514364</f>
        <v>15973.256808927832</v>
      </c>
      <c r="BQ31" s="36">
        <f>9689.442*1.00053334571843</f>
        <v>9694.6098224046746</v>
      </c>
      <c r="BR31" s="36">
        <f>6465.484*1.00035579141875</f>
        <v>6467.7843637252654</v>
      </c>
    </row>
    <row r="32" spans="1:70" x14ac:dyDescent="0.15">
      <c r="A32">
        <f>102336.3*1.00567649621371</f>
        <v>102917.21161947509</v>
      </c>
      <c r="B32">
        <f>136835.3*1.0076120515617</f>
        <v>137876.89735906068</v>
      </c>
      <c r="C32">
        <f>14632.15*1.00080574111956</f>
        <v>14643.939724922571</v>
      </c>
      <c r="D32">
        <f>9583.192*1.00052749266376</f>
        <v>9588.2470634754027</v>
      </c>
      <c r="E32">
        <f>6039.442*1.00033233491246</f>
        <v>6041.4491174283776</v>
      </c>
      <c r="F32" s="36">
        <f>106797.8*1.00592617817119</f>
        <v>107430.70279109111</v>
      </c>
      <c r="G32" s="36">
        <f>141378*1.00786775365604</f>
        <v>142490.32727638364</v>
      </c>
      <c r="H32" s="36">
        <f>15081.11*1.00083049458224</f>
        <v>15093.634780149165</v>
      </c>
      <c r="I32" s="36">
        <f>9652.984*1.0005313373241</f>
        <v>9658.1129906881415</v>
      </c>
      <c r="J32" s="36">
        <f>6205.067*1.00034145349777</f>
        <v>6207.1857418310465</v>
      </c>
      <c r="K32">
        <f>120387.4*1.00668785183442</f>
        <v>121192.53309393105</v>
      </c>
      <c r="L32">
        <f>140822.8*1.00783649177392</f>
        <v>141926.35671378038</v>
      </c>
      <c r="M32">
        <f>15999.86*1.00088115569941</f>
        <v>16013.958367828762</v>
      </c>
      <c r="N32">
        <f>9519.65*1.00052399233827</f>
        <v>9524.6382236630125</v>
      </c>
      <c r="O32">
        <f>6404.025*1.00035240758143</f>
        <v>6406.2818269616673</v>
      </c>
      <c r="P32" s="36">
        <f>81429.03*1.00450892464556</f>
        <v>81796.187360231052</v>
      </c>
      <c r="Q32" s="36">
        <f>137051.9*1.00762423923765</f>
        <v>138096.81647357446</v>
      </c>
      <c r="R32" s="36">
        <f>11374.86*1.00062620504913</f>
        <v>11381.982994765147</v>
      </c>
      <c r="S32" s="36">
        <f>9027.984*1.00049690927336</f>
        <v>9032.4700889693468</v>
      </c>
      <c r="T32" s="36">
        <f>5759.234*1.00031690845812</f>
        <v>5761.0591499668926</v>
      </c>
      <c r="U32">
        <f>86125.9*1.00477086775257</f>
        <v>86536.795278971054</v>
      </c>
      <c r="V32">
        <f>137115.5*1.00762781797462</f>
        <v>138161.39207549902</v>
      </c>
      <c r="W32">
        <f>12807.15*1.00070513843781</f>
        <v>12816.180813743798</v>
      </c>
      <c r="X32">
        <f>9120.692*1.000502015858</f>
        <v>9125.2707320199333</v>
      </c>
      <c r="Y32">
        <f>5765.484*1.00031725253523</f>
        <v>5767.3131144158278</v>
      </c>
      <c r="Z32" s="36">
        <f>90175.9*1.00499689995524</f>
        <v>90626.499950673737</v>
      </c>
      <c r="AA32" s="36">
        <f>138509.2*1.00770625030263</f>
        <v>139576.58656441706</v>
      </c>
      <c r="AB32" s="36">
        <f>13992.57*1.00077048097323</f>
        <v>14003.351008951589</v>
      </c>
      <c r="AC32" s="36">
        <f>9645.692*1.00053093562465</f>
        <v>9650.8132415071996</v>
      </c>
      <c r="AD32" s="36">
        <f>6364.442*1.00035022822097</f>
        <v>6366.6710071991265</v>
      </c>
      <c r="AE32">
        <f>105612.4*1.00585982065149</f>
        <v>106231.26972257342</v>
      </c>
      <c r="AF32">
        <f>138625.9*1.0077128185839</f>
        <v>139695.09641772986</v>
      </c>
      <c r="AG32">
        <f>15101.94*1.00083164309135</f>
        <v>15114.499424066982</v>
      </c>
      <c r="AH32">
        <f>9517.567*1.00052387759309</f>
        <v>9522.5530400920325</v>
      </c>
      <c r="AI32">
        <f>6189.442*1.00034059324322</f>
        <v>6191.5500821245032</v>
      </c>
      <c r="AJ32" s="36">
        <f>98289.44*1.00545018005334</f>
        <v>98825.135145341963</v>
      </c>
      <c r="AK32" s="36">
        <f>139425.9*1.00775784882859</f>
        <v>140507.5450549901</v>
      </c>
      <c r="AL32" s="36">
        <f>13634.23*1.00075072726179</f>
        <v>13644.465588154513</v>
      </c>
      <c r="AM32" s="36">
        <f>9540.484*1.00052514001263</f>
        <v>9545.4940898882578</v>
      </c>
      <c r="AN32" s="36">
        <f>6327.984*1.00034822092933</f>
        <v>6330.1875364692651</v>
      </c>
      <c r="AO32">
        <f>96799.86*1.00536691547061</f>
        <v>97319.376666186887</v>
      </c>
      <c r="AP32">
        <f>140255.1*1.00780452906398</f>
        <v>141349.72500432143</v>
      </c>
      <c r="AQ32">
        <f>14419.65*1.00079402554749</f>
        <v>14431.099570485865</v>
      </c>
      <c r="AR32">
        <f>9675.9*1.0005325997168</f>
        <v>9681.0533815997842</v>
      </c>
      <c r="AS32">
        <f>6211.317*1.00034179760021</f>
        <v>6213.4400132447436</v>
      </c>
      <c r="AT32" s="36">
        <f>92740.48*1.00514010927244</f>
        <v>93217.176201178518</v>
      </c>
      <c r="AU32" s="36">
        <f>139383.2*1.00775544518642</f>
        <v>140464.17876750781</v>
      </c>
      <c r="AV32" s="36">
        <f>14542.57*1.00080080233552</f>
        <v>14554.215724020461</v>
      </c>
      <c r="AW32" s="36">
        <f>9641.525*1.00053070607446</f>
        <v>9646.6418158845572</v>
      </c>
      <c r="AX32" s="36">
        <f>6143.609*1.00033806986102</f>
        <v>6145.6859690407919</v>
      </c>
      <c r="AY32">
        <f>110944.7*1.00615842110021</f>
        <v>111627.94418143645</v>
      </c>
      <c r="AZ32">
        <f>144920.7*1.00806730266322</f>
        <v>146089.81914906573</v>
      </c>
      <c r="BA32">
        <f>15783.19*1.00086920752925</f>
        <v>15796.908867583585</v>
      </c>
      <c r="BB32">
        <f>9563.4*1.00052640238186</f>
        <v>9568.4341965386811</v>
      </c>
      <c r="BC32">
        <f>6271.734*1.00034512396047</f>
        <v>6273.8985256770939</v>
      </c>
      <c r="BD32" s="36">
        <f>95766.53*1.00530916653401</f>
        <v>96274.97045615426</v>
      </c>
      <c r="BE32" s="36">
        <f>146665.5*1.00816562536864</f>
        <v>147863.11552750427</v>
      </c>
      <c r="BF32" s="36">
        <f>13289.44*1.00073172160682</f>
        <v>13299.164170390537</v>
      </c>
      <c r="BG32" s="36">
        <f>9354.025*1.00051486875961</f>
        <v>9358.8410952491104</v>
      </c>
      <c r="BH32" s="36">
        <f>6122.775*1.00033692283039</f>
        <v>6124.8379026828406</v>
      </c>
      <c r="BI32">
        <f>95261.32*1.00528093587055</f>
        <v>95764.388921863938</v>
      </c>
      <c r="BJ32">
        <f>143993.6*1.00801507059534</f>
        <v>145147.71886927713</v>
      </c>
      <c r="BK32">
        <f>14352.98*1.00079034997494</f>
        <v>14364.323877383315</v>
      </c>
      <c r="BL32">
        <f>9510.275*1.00052347590263</f>
        <v>9515.2533997898845</v>
      </c>
      <c r="BM32">
        <f>6119.65*1.00033675078164</f>
        <v>6121.7107969208637</v>
      </c>
      <c r="BN32" s="36">
        <f>110678*1.00614347998786</f>
        <v>111357.94807809636</v>
      </c>
      <c r="BO32" s="36">
        <f>147020.7*1.00818564507878</f>
        <v>148224.15926943382</v>
      </c>
      <c r="BP32" s="36">
        <f>15281.11*1.00084152219742</f>
        <v>15293.969393266218</v>
      </c>
      <c r="BQ32" s="36">
        <f>9702.984*1.00053409172173</f>
        <v>9708.1662834304789</v>
      </c>
      <c r="BR32" s="36">
        <f>6465.484*1.00035579141875</f>
        <v>6467.7843637252654</v>
      </c>
    </row>
    <row r="33" spans="1:70" x14ac:dyDescent="0.15">
      <c r="A33">
        <f>101367.6*1.00562230880324</f>
        <v>101937.51994984332</v>
      </c>
      <c r="B33">
        <f>136054*1.00756809295826</f>
        <v>137083.66931934311</v>
      </c>
      <c r="C33">
        <f>14348.82*1.00079012063202</f>
        <v>14360.157298727141</v>
      </c>
      <c r="D33">
        <f>9451.942*1.00052026256161</f>
        <v>9456.8594915571084</v>
      </c>
      <c r="E33">
        <f>6086.317*1.00033491561885</f>
        <v>6088.355402624572</v>
      </c>
      <c r="F33" s="36">
        <f>108468.6*1.00601973024862</f>
        <v>109121.55171244546</v>
      </c>
      <c r="G33" s="36">
        <f>141067.6*1.00785027547204</f>
        <v>142175.01952017954</v>
      </c>
      <c r="H33" s="36">
        <f>14749.86*1.00081223089664</f>
        <v>14761.840292013116</v>
      </c>
      <c r="I33" s="36">
        <f>9702.984*1.00053409172173</f>
        <v>9708.1662834304789</v>
      </c>
      <c r="J33" s="36">
        <f>6257.15*1.00034432101061</f>
        <v>6259.3044682115378</v>
      </c>
      <c r="K33">
        <f>120091.5*1.0066712486821</f>
        <v>120892.6602611064</v>
      </c>
      <c r="L33">
        <f>140631.1*1.00782569831785</f>
        <v>141731.6365627074</v>
      </c>
      <c r="M33">
        <f>15838.4*1.00087225201935</f>
        <v>15852.215076383274</v>
      </c>
      <c r="N33">
        <f>9371.734*1.00051584426138</f>
        <v>9376.5683552030805</v>
      </c>
      <c r="O33">
        <f>6126.942*1.00033715224721</f>
        <v>6129.0077122638249</v>
      </c>
      <c r="P33" s="36">
        <f>82056.11*1.00454388485237</f>
        <v>82428.963515273412</v>
      </c>
      <c r="Q33" s="36">
        <f>136457.2*1.0075907776457</f>
        <v>137493.01626335483</v>
      </c>
      <c r="R33" s="36">
        <f>11634.23*1.00064049752408</f>
        <v>11641.681695509576</v>
      </c>
      <c r="S33" s="36">
        <f>8976.942*1.00049409778785</f>
        <v>8981.3774871838577</v>
      </c>
      <c r="T33" s="36">
        <f>5670.692*1.00031203405219</f>
        <v>5672.4614490034819</v>
      </c>
      <c r="U33">
        <f>83987.36*1.004651576539</f>
        <v>84378.033633348547</v>
      </c>
      <c r="V33">
        <f>137271.7*1.00763660742478</f>
        <v>138319.99008343217</v>
      </c>
      <c r="W33">
        <f>12339.44*1.00067936092229</f>
        <v>12347.822933338941</v>
      </c>
      <c r="X33">
        <f>9135.275*1.00050281913262</f>
        <v>9139.8683910517448</v>
      </c>
      <c r="Y33">
        <f>6014.442*1.00033095854389</f>
        <v>6016.432530966631</v>
      </c>
      <c r="Z33" s="36">
        <f>91693.61*1.00508164335156</f>
        <v>92159.564223637033</v>
      </c>
      <c r="AA33" s="36">
        <f>139559.2*1.00776535258124</f>
        <v>140642.9263939558</v>
      </c>
      <c r="AB33" s="36">
        <f>14683.19*1.00080855512344</f>
        <v>14695.062168502944</v>
      </c>
      <c r="AC33" s="36">
        <f>9671.734*1.00053237022055</f>
        <v>9676.8829431626818</v>
      </c>
      <c r="AD33" s="36">
        <f>6272.775*1.00034518127478</f>
        <v>6274.9402444709067</v>
      </c>
      <c r="AE33">
        <f>106683.2*1.00591976240201</f>
        <v>107314.73919628611</v>
      </c>
      <c r="AF33">
        <f>138436.3*1.00770214730279</f>
        <v>139502.55677465323</v>
      </c>
      <c r="AG33">
        <f>14755.07*1.00081251814565</f>
        <v>14767.058762115335</v>
      </c>
      <c r="AH33">
        <f>9802.984*1.00053960058524</f>
        <v>9808.2736959034992</v>
      </c>
      <c r="AI33">
        <f>6179.025*1.00034001972306</f>
        <v>6181.1259903692808</v>
      </c>
      <c r="AJ33" s="36">
        <f>99675.9*1.00552769905539</f>
        <v>100226.87837827516</v>
      </c>
      <c r="AK33" s="36">
        <f>139686.3*1.00777250747861</f>
        <v>140772.01281140934</v>
      </c>
      <c r="AL33" s="36">
        <f>14243.61*1.0007843204036</f>
        <v>14254.781553943922</v>
      </c>
      <c r="AM33" s="36">
        <f>9524.859*1.00052427928404</f>
        <v>9529.8526862571034</v>
      </c>
      <c r="AN33" s="36">
        <f>6262.359*1.00034460780179</f>
        <v>6264.5170577690096</v>
      </c>
      <c r="AO33">
        <f>95684.23*1.00530456752436</f>
        <v>96191.793459051376</v>
      </c>
      <c r="AP33">
        <f>139300.9*1.007750812454</f>
        <v>140380.59515057341</v>
      </c>
      <c r="AQ33">
        <f>14459.23*1.00079620764498</f>
        <v>14470.742549466522</v>
      </c>
      <c r="AR33">
        <f>9557.15*1.00052605808886</f>
        <v>9562.1776160639474</v>
      </c>
      <c r="AS33">
        <f>6250.9*1.00034397690557</f>
        <v>6253.0501652390267</v>
      </c>
      <c r="AT33" s="36">
        <f>92044.65*1.00510124720371</f>
        <v>92514.192513428963</v>
      </c>
      <c r="AU33" s="36">
        <f>139205.1*1.00774541987651</f>
        <v>140283.30194845155</v>
      </c>
      <c r="AV33" s="36">
        <f>13582.15*1.00074785641735</f>
        <v>13592.30749803891</v>
      </c>
      <c r="AW33" s="36">
        <f>9721.734*1.0005351246267</f>
        <v>9726.9363392776268</v>
      </c>
      <c r="AX33" s="36">
        <f>6123.817*1.00033698019834</f>
        <v>6125.8806050672574</v>
      </c>
      <c r="AY33">
        <f>109173.8*1.00605922392737</f>
        <v>109835.30850120191</v>
      </c>
      <c r="AZ33">
        <f>144332.2*1.00803414610339</f>
        <v>145491.78598222369</v>
      </c>
      <c r="BA33">
        <f>15616.53*1.00086001742939</f>
        <v>15629.960487986593</v>
      </c>
      <c r="BB33">
        <f>9719.65*1.0005350098226</f>
        <v>9724.8501082222338</v>
      </c>
      <c r="BC33">
        <f>6436.317*1.00035418552464</f>
        <v>6438.596650313395</v>
      </c>
      <c r="BD33" s="36">
        <f>96131.11*1.00532954040424</f>
        <v>96643.444634849438</v>
      </c>
      <c r="BE33" s="36">
        <f>146419.7*1.00815177233894</f>
        <v>147613.28006033591</v>
      </c>
      <c r="BF33" s="36">
        <f>14560.28*1.0008017787292</f>
        <v>14571.954122795198</v>
      </c>
      <c r="BG33" s="36">
        <f>9442.567*1.00051974613174</f>
        <v>9447.4747376719461</v>
      </c>
      <c r="BH33" s="36">
        <f>6154.025*1.00033864332277</f>
        <v>6156.1090194744083</v>
      </c>
      <c r="BI33">
        <f>95426.94*1.00529019029917</f>
        <v>95931.766672267477</v>
      </c>
      <c r="BJ33">
        <f>144967.6*1.00806994518777</f>
        <v>146137.48058600255</v>
      </c>
      <c r="BK33">
        <f>13714.44*1.00075514878541</f>
        <v>13724.796442708579</v>
      </c>
      <c r="BL33">
        <f>9480.067*1.00052181185601</f>
        <v>9485.013811356368</v>
      </c>
      <c r="BM33">
        <f>6024.859*1.00033153204846</f>
        <v>6026.8564338459537</v>
      </c>
      <c r="BN33" s="36">
        <f>113257.2*1.0062880003321</f>
        <v>113969.36131121271</v>
      </c>
      <c r="BO33" s="36">
        <f>148147.8*1.00824917837655</f>
        <v>149369.89762829343</v>
      </c>
      <c r="BP33" s="36">
        <f>15317.57*1.00084353257096</f>
        <v>15330.490869202958</v>
      </c>
      <c r="BQ33" s="36">
        <f>9713.4*1.0005346655207</f>
        <v>9718.5934200687661</v>
      </c>
      <c r="BR33" s="36">
        <f>6437.359*1.00035424289556</f>
        <v>6439.6393886919204</v>
      </c>
    </row>
    <row r="34" spans="1:70" x14ac:dyDescent="0.15">
      <c r="A34">
        <f>101275.9*1.00561717971771</f>
        <v>101844.78493137282</v>
      </c>
      <c r="B34">
        <f>135532.2*1.00753873792161</f>
        <v>136553.94173573927</v>
      </c>
      <c r="C34">
        <f>14793.61*1.0008146430242</f>
        <v>14805.661511189235</v>
      </c>
      <c r="D34">
        <f>9351.942*1.00051475401757</f>
        <v>9356.7559497165821</v>
      </c>
      <c r="E34">
        <f>6039.442*1.00033233491246</f>
        <v>6041.4491174283776</v>
      </c>
      <c r="F34" s="36">
        <f>110435.3*1.00612988398709</f>
        <v>111112.25557707949</v>
      </c>
      <c r="G34" s="36">
        <f>142514.4*1.00793175050721</f>
        <v>143644.78866448475</v>
      </c>
      <c r="H34" s="36">
        <f>15023.82*1.00082733578906</f>
        <v>15036.249743974395</v>
      </c>
      <c r="I34" s="36">
        <f>9658.192*1.0005316242211</f>
        <v>9663.3265287992326</v>
      </c>
      <c r="J34" s="36">
        <f>6266.525*1.00034483716885</f>
        <v>6268.6859307395271</v>
      </c>
      <c r="K34">
        <f>120894.7*1.00671631870157</f>
        <v>121706.66733453069</v>
      </c>
      <c r="L34">
        <f>141543.6*1.00787707873017</f>
        <v>142658.55008095171</v>
      </c>
      <c r="M34">
        <f>16136.32*1.0008886809447</f>
        <v>16150.66004010158</v>
      </c>
      <c r="N34">
        <f>9518.609*1.00052393499322</f>
        <v>9523.5961323418796</v>
      </c>
      <c r="O34">
        <f>6256.109*1.00034426369645</f>
        <v>6258.2627512097342</v>
      </c>
      <c r="P34" s="36">
        <f>82022.78*1.00454202658648</f>
        <v>82395.329647456994</v>
      </c>
      <c r="Q34" s="36">
        <f>136969.7*1.00761961394556</f>
        <v>138013.35623623917</v>
      </c>
      <c r="R34" s="36">
        <f>11590.48*1.00063808665575</f>
        <v>11597.875730621738</v>
      </c>
      <c r="S34" s="36">
        <f>8844.65*1.000486811016</f>
        <v>8848.9556730526638</v>
      </c>
      <c r="T34" s="36">
        <f>5922.775*1.00032591188939</f>
        <v>5924.7053027906813</v>
      </c>
      <c r="U34">
        <f>85299.86*1.00472478486369</f>
        <v>85702.883487402869</v>
      </c>
      <c r="V34">
        <f>137334.2*1.00764012439483</f>
        <v>138383.45037166448</v>
      </c>
      <c r="W34">
        <f>12165.48*1.00066977374468</f>
        <v>12173.628119095429</v>
      </c>
      <c r="X34">
        <f>9062.359*1.00049880272378</f>
        <v>9066.8793293530725</v>
      </c>
      <c r="Y34">
        <f>5661.317*1.00031151794473</f>
        <v>5663.0806018363046</v>
      </c>
      <c r="Z34" s="36">
        <f>89930.07*1.00498317572403</f>
        <v>90378.20734168432</v>
      </c>
      <c r="AA34" s="36">
        <f>139144.7*1.00774202000795</f>
        <v>140221.96105140023</v>
      </c>
      <c r="AB34" s="36">
        <f>13820.69*1.0007610058372</f>
        <v>13831.207625764133</v>
      </c>
      <c r="AC34" s="36">
        <f>9737.359*1.00053598538329</f>
        <v>9742.578082095848</v>
      </c>
      <c r="AD34" s="36">
        <f>6196.734*1.00034099471341</f>
        <v>6198.8470535344086</v>
      </c>
      <c r="AE34">
        <f>107970.7*1.00599184890477</f>
        <v>108617.64412054223</v>
      </c>
      <c r="AF34">
        <f>139023.8*1.00773521474554</f>
        <v>140099.17894774099</v>
      </c>
      <c r="AG34">
        <f>15531.11*1.00085530722915</f>
        <v>15544.393870659724</v>
      </c>
      <c r="AH34">
        <f>9497.775*1.00052278732301</f>
        <v>9502.7403163668005</v>
      </c>
      <c r="AI34">
        <f>6396.734*1.00035200615255</f>
        <v>6398.9856897242253</v>
      </c>
      <c r="AJ34" s="36">
        <f>99241.53*1.00550341086275</f>
        <v>99787.696914237938</v>
      </c>
      <c r="AK34" s="36">
        <f>139768.6*1.00777714051094</f>
        <v>140855.60004121737</v>
      </c>
      <c r="AL34" s="36">
        <f>14230.07*1.00078357395059</f>
        <v>14241.22031216707</v>
      </c>
      <c r="AM34" s="36">
        <f>9565.484*1.000526517183</f>
        <v>9570.5203916897117</v>
      </c>
      <c r="AN34" s="36">
        <f>6315.484*1.00034753271154</f>
        <v>6317.678837279208</v>
      </c>
      <c r="AO34">
        <f>97132.15*1.0053854880303</f>
        <v>97655.254031182296</v>
      </c>
      <c r="AP34">
        <f>139686.3*1.00777250747861</f>
        <v>140772.01281140934</v>
      </c>
      <c r="AQ34">
        <f>15146.73*1.00083411270259</f>
        <v>15159.3640798957</v>
      </c>
      <c r="AR34">
        <f>9729.025*1.00053552627611</f>
        <v>9734.2351485284307</v>
      </c>
      <c r="AS34">
        <f>6220.692*1.00034231375454</f>
        <v>6222.8214284343567</v>
      </c>
      <c r="AT34" s="36">
        <f>93521.73*1.00518374742461</f>
        <v>94006.523027032556</v>
      </c>
      <c r="AU34" s="36">
        <f>140009.2*1.00779068532032</f>
        <v>141099.96761914977</v>
      </c>
      <c r="AV34" s="36">
        <f>14765.48*1.00081309209309</f>
        <v>14777.485695038678</v>
      </c>
      <c r="AW34" s="36">
        <f>9345.692*1.00051440973659</f>
        <v>9350.499514959969</v>
      </c>
      <c r="AX34" s="36">
        <f>6192.567*1.00034076529395</f>
        <v>6194.6772119140596</v>
      </c>
      <c r="AY34">
        <f>111674.9*1.00619933190047</f>
        <v>112367.20977005179</v>
      </c>
      <c r="AZ34">
        <f>146015.5*1.00812899329635</f>
        <v>147202.4590206632</v>
      </c>
      <c r="BA34">
        <f>15946.73*1.00087822582973</f>
        <v>15960.734830185729</v>
      </c>
      <c r="BB34">
        <f>9681.109*1.00053288666997</f>
        <v>9686.2679339366277</v>
      </c>
      <c r="BC34">
        <f>6417.567*1.00035315318002</f>
        <v>6419.8333841940421</v>
      </c>
      <c r="BD34" s="36">
        <f>93805.07*1.00519957530697</f>
        <v>94292.816525640606</v>
      </c>
      <c r="BE34" s="36">
        <f>145840.5*1.00811913149927</f>
        <v>147024.59819741928</v>
      </c>
      <c r="BF34" s="36">
        <f>13910.28*1.00076594458321</f>
        <v>13920.934503616934</v>
      </c>
      <c r="BG34" s="36">
        <f>9315.484*1.00051274573522</f>
        <v>9320.2604746925117</v>
      </c>
      <c r="BH34" s="36">
        <f>5919.65*1.00032573984632</f>
        <v>5921.5782658812668</v>
      </c>
      <c r="BI34">
        <f>95259.23*1.00528081908825</f>
        <v>95762.276760116001</v>
      </c>
      <c r="BJ34">
        <f>144403*1.00803813485837</f>
        <v>145563.73078795322</v>
      </c>
      <c r="BK34">
        <f>13647.78*1.00075147419253</f>
        <v>13658.035954455328</v>
      </c>
      <c r="BL34">
        <f>9422.775*1.00051865587517</f>
        <v>9427.6621776141546</v>
      </c>
      <c r="BM34">
        <f>6054.025*1.0003331377784</f>
        <v>6056.0418244388775</v>
      </c>
      <c r="BN34" s="36">
        <f>110798.8*1.0061502473832</f>
        <v>111480.2400297617</v>
      </c>
      <c r="BO34" s="36">
        <f>147903*1.00823537826564</f>
        <v>149121.03715162294</v>
      </c>
      <c r="BP34" s="36">
        <f>15152.98*1.00083445731378</f>
        <v>15165.624514986561</v>
      </c>
      <c r="BQ34" s="36">
        <f>9757.15*1.00053707564144</f>
        <v>9762.390327594876</v>
      </c>
      <c r="BR34" s="36">
        <f>6526.942*1.00035917523534</f>
        <v>6529.2863159289009</v>
      </c>
    </row>
    <row r="35" spans="1:70" x14ac:dyDescent="0.15">
      <c r="A35">
        <f>101930.1*1.00565377301664</f>
        <v>102506.38964896342</v>
      </c>
      <c r="B35">
        <f>135845.7*1.00755637426325</f>
        <v>136872.20095125321</v>
      </c>
      <c r="C35">
        <f>14674.86*1.00080809586139</f>
        <v>14686.71869363248</v>
      </c>
      <c r="D35">
        <f>9323.817*1.00051320475595</f>
        <v>9328.6020272280057</v>
      </c>
      <c r="E35">
        <f>6065.484*1.00033376865412</f>
        <v>6067.5084684312669</v>
      </c>
      <c r="F35" s="36">
        <f>109781.1*1.00609323859678</f>
        <v>110450.02243571698</v>
      </c>
      <c r="G35" s="36">
        <f>143095.7*1.0079644913895</f>
        <v>144235.3844705245</v>
      </c>
      <c r="H35" s="36">
        <f>15548.82*1.00085628378241</f>
        <v>15562.134202401612</v>
      </c>
      <c r="I35" s="36">
        <f>9777.984*1.00053822336083</f>
        <v>9783.2467394106225</v>
      </c>
      <c r="J35" s="36">
        <f>6186.317*1.00034042119257</f>
        <v>6188.4229534107553</v>
      </c>
      <c r="K35">
        <f>120546.7*1.00669679060777</f>
        <v>121353.97600835765</v>
      </c>
      <c r="L35">
        <f>142073.8*1.00790693647965</f>
        <v>143197.1685120225</v>
      </c>
      <c r="M35">
        <f>15983.19*1.00088023642452</f>
        <v>15997.258986018023</v>
      </c>
      <c r="N35">
        <f>9536.317*1.00052491046643</f>
        <v>9541.3227126044931</v>
      </c>
      <c r="O35">
        <f>6284.234*1.00034581217329</f>
        <v>6286.4071646170032</v>
      </c>
      <c r="P35" s="36">
        <f>82745.69*1.00458233370409</f>
        <v>83124.858364155181</v>
      </c>
      <c r="Q35" s="36">
        <f>137567.6*1.0076532584941</f>
        <v>138620.44040321297</v>
      </c>
      <c r="R35" s="36">
        <f>11500.9*1.0006331503539</f>
        <v>11508.181798905169</v>
      </c>
      <c r="S35" s="36">
        <f>8866.525*1.00048801590126</f>
        <v>8870.8520051889172</v>
      </c>
      <c r="T35" s="36">
        <f>5627.984*1.00030968292083</f>
        <v>5629.7268905235051</v>
      </c>
      <c r="U35">
        <f>86414.44*1.00478696623813</f>
        <v>86828.103006766905</v>
      </c>
      <c r="V35">
        <f>137661.3*1.00765853141142</f>
        <v>138715.58339018689</v>
      </c>
      <c r="W35">
        <f>12013.4*1.0006613926301</f>
        <v>12021.345574222443</v>
      </c>
      <c r="X35">
        <f>9007.15*1.00049576169617</f>
        <v>9011.6153999616581</v>
      </c>
      <c r="Y35">
        <f>5736.317*1.00031564682673</f>
        <v>5738.1276502581677</v>
      </c>
      <c r="Z35" s="36">
        <f>92847.78*1.00514610237358</f>
        <v>93325.584181039623</v>
      </c>
      <c r="AA35" s="36">
        <f>140593.6*1.00782358696255</f>
        <v>141693.54625597797</v>
      </c>
      <c r="AB35" s="36">
        <f>14444.65*1.00079540382873</f>
        <v>14456.139329914662</v>
      </c>
      <c r="AC35" s="36">
        <f>9599.859*1.00052841080155</f>
        <v>9604.9316691889562</v>
      </c>
      <c r="AD35" s="36">
        <f>6227.984*1.00034271522681</f>
        <v>6230.1184249491298</v>
      </c>
      <c r="AE35">
        <f>107229*1.00595031958446</f>
        <v>107867.04681872205</v>
      </c>
      <c r="AF35">
        <f>139948.8*1.00778728499252</f>
        <v>141038.62118996118</v>
      </c>
      <c r="AG35">
        <f>15161.32*1.00083491716351</f>
        <v>15173.978446289468</v>
      </c>
      <c r="AH35">
        <f>9812.359*1.00054011704586</f>
        <v>9817.6588223559993</v>
      </c>
      <c r="AI35">
        <f>6342.567*1.00034902383352</f>
        <v>6344.780707048697</v>
      </c>
      <c r="AJ35" s="36">
        <f>98147.78*1.00544226064718</f>
        <v>98681.925800702084</v>
      </c>
      <c r="AK35" s="36">
        <f>139440.5*1.00775867068678</f>
        <v>140522.37291989996</v>
      </c>
      <c r="AL35" s="36">
        <f>13659.23*1.0007521053641</f>
        <v>13669.503180152475</v>
      </c>
      <c r="AM35" s="36">
        <f>9522.775*1.00052416448367</f>
        <v>9527.766500440981</v>
      </c>
      <c r="AN35" s="36">
        <f>6198.817*1.00034110939568</f>
        <v>6200.9314747208009</v>
      </c>
      <c r="AO35">
        <f>96496.73*1.00534997363905</f>
        <v>97012.984961754526</v>
      </c>
      <c r="AP35">
        <f>140812.4*1.00783590620453</f>
        <v>141915.79275883475</v>
      </c>
      <c r="AQ35">
        <f>13940.48*1.00076760940747</f>
        <v>13951.180843592647</v>
      </c>
      <c r="AR35">
        <f>9737.359*1.00053598538329</f>
        <v>9742.578082095848</v>
      </c>
      <c r="AS35">
        <f>6198.817*1.00034110939568</f>
        <v>6200.9314747208009</v>
      </c>
      <c r="AT35" s="36">
        <f>92330.07*1.00511718734947</f>
        <v>92802.540266179683</v>
      </c>
      <c r="AU35" s="36">
        <f>139231.1*1.00774688340671</f>
        <v>140309.707098288</v>
      </c>
      <c r="AV35" s="36">
        <f>14339.44*1.00078960350843</f>
        <v>14350.762472132923</v>
      </c>
      <c r="AW35" s="36">
        <f>9734.234*1.0005358132318</f>
        <v>9739.4497313786378</v>
      </c>
      <c r="AX35" s="36">
        <f>6162.359*1.00033910215894</f>
        <v>6164.4486692410637</v>
      </c>
      <c r="AY35">
        <f>110535.3*1.00613548589827</f>
        <v>111213.48777441106</v>
      </c>
      <c r="AZ35">
        <f>145078*1.0080761656263</f>
        <v>146249.67395673235</v>
      </c>
      <c r="BA35">
        <f>15260.28*1.00084037365428</f>
        <v>15273.104337268935</v>
      </c>
      <c r="BB35">
        <f>9563.4*1.00052640238186</f>
        <v>9568.4341965386811</v>
      </c>
      <c r="BC35">
        <f>6371.734*1.00035062970277</f>
        <v>6373.9681191985501</v>
      </c>
      <c r="BD35" s="36">
        <f>96661.32*1.00535917241116</f>
        <v>97179.344679370304</v>
      </c>
      <c r="BE35" s="36">
        <f>147879*1.00823402534416</f>
        <v>149096.63943386904</v>
      </c>
      <c r="BF35" s="36">
        <f>13915.48*1.0007662312411</f>
        <v>13926.142475510904</v>
      </c>
      <c r="BG35" s="36">
        <f>9466.525*1.00052106588019</f>
        <v>9471.4576831814647</v>
      </c>
      <c r="BH35" s="36">
        <f>6121.734*1.0003368655175</f>
        <v>6123.7962010919082</v>
      </c>
      <c r="BI35">
        <f>94862.36*1.00525864404129</f>
        <v>95361.207384156718</v>
      </c>
      <c r="BJ35">
        <f>144909.2*1.00806665471262</f>
        <v>146078.13248108202</v>
      </c>
      <c r="BK35">
        <f>13810.28*1.00076043197939</f>
        <v>13820.781778556329</v>
      </c>
      <c r="BL35">
        <f>9271.734*1.00051033579033</f>
        <v>9276.4656976986207</v>
      </c>
      <c r="BM35">
        <f>6127.984*1.0003372096152</f>
        <v>6130.0504151265914</v>
      </c>
      <c r="BN35" s="36">
        <f>113074.9*1.00627778346473</f>
        <v>113784.759737496</v>
      </c>
      <c r="BO35" s="36">
        <f>147735.3*1.00822592484105</f>
        <v>148950.55947416995</v>
      </c>
      <c r="BP35" s="36">
        <f>15261.32*1.00084043099864</f>
        <v>15274.146086408166</v>
      </c>
      <c r="BQ35" s="36">
        <f>9804.025*1.00053965793298</f>
        <v>9809.3158198663841</v>
      </c>
      <c r="BR35" s="36">
        <f>6411.317*1.00035280906586</f>
        <v>6413.5789707617023</v>
      </c>
    </row>
    <row r="36" spans="1:70" x14ac:dyDescent="0.15">
      <c r="A36">
        <f>98731.11*1.00547487251831</f>
        <v>99271.650240841249</v>
      </c>
      <c r="B36">
        <f>136228*1.00757788229275</f>
        <v>137260.31974897673</v>
      </c>
      <c r="C36">
        <f>13774.86*1.00075847943698</f>
        <v>13785.307948057278</v>
      </c>
      <c r="D36">
        <f>9395.692*1.00051716399439</f>
        <v>9400.5511136047771</v>
      </c>
      <c r="E36">
        <f>6099.859*1.00033566117832</f>
        <v>6101.9064858595266</v>
      </c>
      <c r="F36" s="36">
        <f>110885.3*1.00615509332568</f>
        <v>111567.80936994603</v>
      </c>
      <c r="G36" s="36">
        <f>143272.8*1.00797446692667</f>
        <v>144415.32420509137</v>
      </c>
      <c r="H36" s="36">
        <f>15061.32*1.00082940341954</f>
        <v>15073.811910310786</v>
      </c>
      <c r="I36" s="36">
        <f>9848.817*1.00054212549306</f>
        <v>9854.1562947721814</v>
      </c>
      <c r="J36" s="36">
        <f>6226.942*1.00034265785787</f>
        <v>6229.0757106068013</v>
      </c>
      <c r="K36">
        <f>123034.2*1.00683640222548</f>
        <v>123875.31127869016</v>
      </c>
      <c r="L36">
        <f>142553*1.00793392449729</f>
        <v>143684.00473886219</v>
      </c>
      <c r="M36">
        <f>15855.07*1.00087317127223</f>
        <v>15868.914191643196</v>
      </c>
      <c r="N36">
        <f>9530.067*1.00052456617496</f>
        <v>9535.0661507933019</v>
      </c>
      <c r="O36">
        <f>6271.734*1.00034512396047</f>
        <v>6273.8985256770939</v>
      </c>
      <c r="P36" s="36">
        <f>84506.11*1.00468050934241</f>
        <v>84901.641637345732</v>
      </c>
      <c r="Q36" s="36">
        <f>137017.6*1.00762230921141</f>
        <v>138061.99051460531</v>
      </c>
      <c r="R36" s="36">
        <f>11858.19*1.0006528392387</f>
        <v>11865.931491731961</v>
      </c>
      <c r="S36" s="36">
        <f>8837.359*1.00048640942527</f>
        <v>8841.6575747120933</v>
      </c>
      <c r="T36" s="36">
        <f>5662.359*1.00031157530832</f>
        <v>5664.1232512512443</v>
      </c>
      <c r="U36">
        <f>84565.48*1.00468382080912</f>
        <v>84961.569554957212</v>
      </c>
      <c r="V36">
        <f>136697.8*1.00760431492446</f>
        <v>137737.29312068084</v>
      </c>
      <c r="W36">
        <f>12438.4*1.00068481486855</f>
        <v>12446.918001260974</v>
      </c>
      <c r="X36">
        <f>9098.817*1.00050081092215</f>
        <v>9103.3737869322431</v>
      </c>
      <c r="Y36">
        <f>5876.942*1.00032338861831</f>
        <v>5878.8425361532682</v>
      </c>
      <c r="Z36" s="36">
        <f>90563.4*1.0050185345023</f>
        <v>91017.895547545588</v>
      </c>
      <c r="AA36" s="36">
        <f>139911.3*1.00778517387921</f>
        <v>141000.53379816632</v>
      </c>
      <c r="AB36" s="36">
        <f>13838.4*1.00076198211438</f>
        <v>13848.944613291636</v>
      </c>
      <c r="AC36" s="36">
        <f>9681.109*1.00053288666997</f>
        <v>9686.2679339366277</v>
      </c>
      <c r="AD36" s="36">
        <f>6557.15*1.00036083847049</f>
        <v>6559.5160719767737</v>
      </c>
      <c r="AE36">
        <f>106462.4*1.0059074014762</f>
        <v>107091.31613891978</v>
      </c>
      <c r="AF36">
        <f>139086.3*1.00773873275062</f>
        <v>140162.65170497255</v>
      </c>
      <c r="AG36">
        <f>15898.82*1.00087558384058</f>
        <v>15912.740749876291</v>
      </c>
      <c r="AH36">
        <f>9795.692*1.00053919887583</f>
        <v>9800.9738261143775</v>
      </c>
      <c r="AI36">
        <f>6195.692*1.00034093734477</f>
        <v>6197.8043427794928</v>
      </c>
      <c r="AJ36" s="36">
        <f>97647.78*1.00541430998486</f>
        <v>98176.475350253415</v>
      </c>
      <c r="AK36" s="36">
        <f>139824.9*1.00778030992476</f>
        <v>140912.78105719856</v>
      </c>
      <c r="AL36" s="36">
        <f>14199.86*1.00078190849533</f>
        <v>14210.962991166498</v>
      </c>
      <c r="AM36" s="36">
        <f>9496.734*1.00052272997816</f>
        <v>9501.6982275564114</v>
      </c>
      <c r="AN36" s="36">
        <f>6366.525*1.00035034290641</f>
        <v>6368.7554668722314</v>
      </c>
      <c r="AO36">
        <f>97302.98*1.00539503656836</f>
        <v>97827.933135310392</v>
      </c>
      <c r="AP36">
        <f>140220.7*1.00780259236922</f>
        <v>141314.78496382671</v>
      </c>
      <c r="AQ36">
        <f>14543.61*1.00080085967307</f>
        <v>14555.257390749857</v>
      </c>
      <c r="AR36">
        <f>9697.775*1.00053380476752</f>
        <v>9702.9517185293371</v>
      </c>
      <c r="AS36">
        <f>6187.359*1.00034047856113</f>
        <v>6189.4656630895151</v>
      </c>
      <c r="AT36" s="36">
        <f>90710.28*1.00502673533843</f>
        <v>91166.256570034864</v>
      </c>
      <c r="AU36" s="36">
        <f>139395.7*1.00775614882696</f>
        <v>140476.87379503826</v>
      </c>
      <c r="AV36" s="36">
        <f>13235.28*1.00072873627564</f>
        <v>13244.925028654254</v>
      </c>
      <c r="AW36" s="36">
        <f>9310.275*1.00051245879938</f>
        <v>9315.046132348396</v>
      </c>
      <c r="AX36" s="36">
        <f>6117.567*1.00033663610087</f>
        <v>6119.6263939016917</v>
      </c>
      <c r="AY36">
        <f>112520.7*1.0062467256542</f>
        <v>113223.58594331854</v>
      </c>
      <c r="AZ36">
        <f>145113.4*1.00807816024788</f>
        <v>146285.64929931471</v>
      </c>
      <c r="BA36">
        <f>15584.23*1.00085823634608</f>
        <v>15597.604952611671</v>
      </c>
      <c r="BB36">
        <f>9607.15*1.00052881244287</f>
        <v>9612.2303804605181</v>
      </c>
      <c r="BC36">
        <f>6321.734*1.00034787682026</f>
        <v>6323.9331847224503</v>
      </c>
      <c r="BD36" s="36">
        <f>96631.11*1.00535748398522</f>
        <v>97148.809624299029</v>
      </c>
      <c r="BE36" s="36">
        <f>146965.5*1.00818253382915</f>
        <v>148168.05017546794</v>
      </c>
      <c r="BF36" s="36">
        <f>13810.28*1.00076043197939</f>
        <v>13820.781778556329</v>
      </c>
      <c r="BG36" s="36">
        <f>9384.234*1.00051653282666</f>
        <v>9389.0812649140607</v>
      </c>
      <c r="BH36" s="36">
        <f>6068.609*1.00033394070133</f>
        <v>6070.6355555455584</v>
      </c>
      <c r="BI36">
        <f>96798.82*1.00536685734391</f>
        <v>97318.325457998842</v>
      </c>
      <c r="BJ36">
        <f>145165.5*1.0080810958566</f>
        <v>146338.59632057126</v>
      </c>
      <c r="BK36">
        <f>13909.23*1.00076588670039</f>
        <v>13919.882894269664</v>
      </c>
      <c r="BL36">
        <f>9391.525*1.00051693445367</f>
        <v>9396.3798028450019</v>
      </c>
      <c r="BM36">
        <f>6081.109*1.00033462889106</f>
        <v>6083.1439147610854</v>
      </c>
      <c r="BN36" s="36">
        <f>112611.3*1.00625180275353</f>
        <v>113315.32363541861</v>
      </c>
      <c r="BO36" s="36">
        <f>148308.2*1.00825822091414</f>
        <v>149532.96187897847</v>
      </c>
      <c r="BP36" s="36">
        <f>15446.73*1.00085065444154</f>
        <v>15459.86982948177</v>
      </c>
      <c r="BQ36" s="36">
        <f>9680.067*1.0005328292683</f>
        <v>9685.2248230167042</v>
      </c>
      <c r="BR36" s="36">
        <f>6451.942*1.00035504581426</f>
        <v>6454.2327350009482</v>
      </c>
    </row>
    <row r="37" spans="1:70" x14ac:dyDescent="0.15">
      <c r="A37">
        <f>103896.7*1.00576380075873</f>
        <v>104495.53987828954</v>
      </c>
      <c r="B37">
        <f>137230.1*1.00763426654997</f>
        <v>138277.75116207905</v>
      </c>
      <c r="C37">
        <f>13956.11*1.00076847103999</f>
        <v>13966.834866365916</v>
      </c>
      <c r="D37">
        <f>9440.484*1.00051963138801</f>
        <v>9445.3895718044078</v>
      </c>
      <c r="E37">
        <f>5994.65*1.00032986890445</f>
        <v>5996.6274486280608</v>
      </c>
      <c r="F37" s="36">
        <f>109264.4*1.00606429818364</f>
        <v>109927.01190245652</v>
      </c>
      <c r="G37" s="36">
        <f>142569.7*1.00793486506213</f>
        <v>143700.97133144838</v>
      </c>
      <c r="H37" s="36">
        <f>15043.61*1.00082842694499</f>
        <v>15056.072531873922</v>
      </c>
      <c r="I37" s="36">
        <f>9730.067*1.00053558367825</f>
        <v>9735.2782650734771</v>
      </c>
      <c r="J37" s="36">
        <f>6331.109*1.000348392984</f>
        <v>6333.3147139565399</v>
      </c>
      <c r="K37">
        <f>121791.5*1.00676664807289</f>
        <v>122615.62021876939</v>
      </c>
      <c r="L37">
        <f>142182.2*1.0079130412584</f>
        <v>143307.2936148101</v>
      </c>
      <c r="M37">
        <f>15607.15*1.00085950019741</f>
        <v>15620.564348506008</v>
      </c>
      <c r="N37">
        <f>9308.192*1.00051234405816</f>
        <v>9312.9609968634122</v>
      </c>
      <c r="O37">
        <f>6126.942*1.00033715224721</f>
        <v>6129.0077122638249</v>
      </c>
      <c r="P37" s="36">
        <f>80836.32*1.0044758839535</f>
        <v>81198.13398754799</v>
      </c>
      <c r="Q37" s="36">
        <f>136408.2*1.00758802074407</f>
        <v>137443.26825126127</v>
      </c>
      <c r="R37" s="36">
        <f>11458.19*1.000630796847</f>
        <v>11465.417790124327</v>
      </c>
      <c r="S37" s="36">
        <f>9026.942*1.00049685187788</f>
        <v>9031.4270530842132</v>
      </c>
      <c r="T37" s="36">
        <f>5767.567*1.00031736720933</f>
        <v>5769.3974366434131</v>
      </c>
      <c r="U37">
        <f>84236.32*1.00466546174126</f>
        <v>84629.321328184538</v>
      </c>
      <c r="V37">
        <f>137173.8*1.00763109851708</f>
        <v>138220.58678176222</v>
      </c>
      <c r="W37">
        <f>12013.4*1.0006613926301</f>
        <v>12021.345574222443</v>
      </c>
      <c r="X37">
        <f>9015.484*1.0004962207486</f>
        <v>9019.9576702194699</v>
      </c>
      <c r="Y37">
        <f>5855.067*1.00032218432781</f>
        <v>5856.9534108256776</v>
      </c>
      <c r="Z37" s="36">
        <f>93385.28*1.00517612534919</f>
        <v>93868.653915049203</v>
      </c>
      <c r="AA37" s="36">
        <f>140632.2*1.00782576025114</f>
        <v>141732.75388079038</v>
      </c>
      <c r="AB37" s="36">
        <f>13983.19*1.00076996388009</f>
        <v>13993.956551228435</v>
      </c>
      <c r="AC37" s="36">
        <f>9830.067*1.0005410925664</f>
        <v>9835.3859761809126</v>
      </c>
      <c r="AD37" s="36">
        <f>6343.609*1.00034908120356</f>
        <v>6345.823434664635</v>
      </c>
      <c r="AE37">
        <f>106036.3*1.00588354864311</f>
        <v>106660.16972898541</v>
      </c>
      <c r="AF37">
        <f>140123.8*1.00779713703047</f>
        <v>141216.36446983015</v>
      </c>
      <c r="AG37">
        <f>14475.9*1.00079712668828</f>
        <v>14487.439126226873</v>
      </c>
      <c r="AH37">
        <f>9801.942*1.00053954318241</f>
        <v>9807.2305709804768</v>
      </c>
      <c r="AI37">
        <f>6500.9*1.00035774138443</f>
        <v>6503.2256409660404</v>
      </c>
      <c r="AJ37" s="36">
        <f>99125.9*1.00549694560351</f>
        <v>99670.78968019897</v>
      </c>
      <c r="AK37" s="36">
        <f>141022.8*1.00784775292282</f>
        <v>142129.51209088427</v>
      </c>
      <c r="AL37" s="36">
        <f>14832.15*1.00081676791629</f>
        <v>14844.264424249601</v>
      </c>
      <c r="AM37" s="36">
        <f>9708.192*1.00053437862109</f>
        <v>9713.3798502542359</v>
      </c>
      <c r="AN37" s="36">
        <f>6345.692*1.00034919588861</f>
        <v>6347.9078895567845</v>
      </c>
      <c r="AO37">
        <f>93775.9*1.00519794578368</f>
        <v>94263.342044015779</v>
      </c>
      <c r="AP37">
        <f>140071.7*1.00779420390775</f>
        <v>141163.44739150521</v>
      </c>
      <c r="AQ37">
        <f>14568.61*1.00080223798255</f>
        <v>14580.29749229496</v>
      </c>
      <c r="AR37">
        <f>9597.775*1.00052829599976</f>
        <v>9602.8454661390952</v>
      </c>
      <c r="AS37">
        <f>6140.484*1.00033789781168</f>
        <v>6142.5588561062559</v>
      </c>
      <c r="AT37" s="36">
        <f>95302.98*1.00528326370237</f>
        <v>95806.490774961698</v>
      </c>
      <c r="AU37" s="36">
        <f>140887.4*1.00784012908365</f>
        <v>141991.97540225982</v>
      </c>
      <c r="AV37" s="36">
        <f>13780.07*1.0007587666397</f>
        <v>13790.525857408731</v>
      </c>
      <c r="AW37" s="36">
        <f>9488.4*1.00052227088923</f>
        <v>9493.3555151053697</v>
      </c>
      <c r="AX37" s="36">
        <f>6192.567*1.00034076529395</f>
        <v>6194.6772119140596</v>
      </c>
      <c r="AY37">
        <f>111035.3*1.00616349686044</f>
        <v>111719.66572294802</v>
      </c>
      <c r="AZ37">
        <f>145678*1.00810997437604</f>
        <v>146859.44484715274</v>
      </c>
      <c r="BA37">
        <f>15433.19*1.00084990784004</f>
        <v>15446.306789177826</v>
      </c>
      <c r="BB37">
        <f>9611.317*1.00052904199176</f>
        <v>9616.4017902891173</v>
      </c>
      <c r="BC37">
        <f>6217.567*1.000342141703</f>
        <v>6219.6942889618967</v>
      </c>
      <c r="BD37" s="36">
        <f>95124.86*1.00527331102168</f>
        <v>95626.482972673766</v>
      </c>
      <c r="BE37" s="36">
        <f>146809.2*1.0081737244148</f>
        <v>148009.17794235726</v>
      </c>
      <c r="BF37" s="36">
        <f>14051.94*1.00077375389374</f>
        <v>14062.812743289602</v>
      </c>
      <c r="BG37" s="36">
        <f>9321.734*1.00051309001448</f>
        <v>9326.5168886330393</v>
      </c>
      <c r="BH37" s="36">
        <f>6192.567*1.00034076529395</f>
        <v>6194.6772119140596</v>
      </c>
      <c r="BI37">
        <f>97085.28*1.0053828682806</f>
        <v>97607.877274225175</v>
      </c>
      <c r="BJ37">
        <f>145456.1*1.00809747037607</f>
        <v>146633.92646076868</v>
      </c>
      <c r="BK37">
        <f>13972.78*1.00076939000686</f>
        <v>13983.530517300052</v>
      </c>
      <c r="BL37">
        <f>9350.9*1.00051469661902</f>
        <v>9355.7128766147925</v>
      </c>
      <c r="BM37">
        <f>6172.775*1.00033967562246</f>
        <v>6174.8717411904308</v>
      </c>
      <c r="BN37" s="36">
        <f>112024.9*1.006218943068</f>
        <v>112721.57647529838</v>
      </c>
      <c r="BO37" s="36">
        <f>149280.1*1.00831301691826</f>
        <v>150521.06799685955</v>
      </c>
      <c r="BP37" s="36">
        <f>15873.82*1.00087420522796</f>
        <v>15887.696976431696</v>
      </c>
      <c r="BQ37" s="36">
        <f>9960.275*1.0005482657159</f>
        <v>9965.7358773034357</v>
      </c>
      <c r="BR37" s="36">
        <f>6388.4*1.00035154729862</f>
        <v>6390.6458247625033</v>
      </c>
    </row>
    <row r="38" spans="1:70" x14ac:dyDescent="0.15">
      <c r="A38">
        <f>105074.9*1.00582973626791</f>
        <v>105687.45895537702</v>
      </c>
      <c r="B38">
        <f>137523.8*1.00765079370102</f>
        <v>138575.96622278032</v>
      </c>
      <c r="C38">
        <f>14215.48*1.0007827696135</f>
        <v>14226.607445785317</v>
      </c>
      <c r="D38">
        <f>9311.317*1.00051251619754</f>
        <v>9316.0892007829279</v>
      </c>
      <c r="E38">
        <f>5968.609*1.00032843523462</f>
        <v>5970.5693014972703</v>
      </c>
      <c r="F38" s="36">
        <f>110592.6*1.00613869583562</f>
        <v>111271.4943330704</v>
      </c>
      <c r="G38" s="36">
        <f>143751.9*1.00800145474931</f>
        <v>144902.12432297732</v>
      </c>
      <c r="H38" s="36">
        <f>14825.9*1.00081642332337</f>
        <v>14838.004210549952</v>
      </c>
      <c r="I38" s="36">
        <f>9560.275*1.00052623023532</f>
        <v>9565.3059057629725</v>
      </c>
      <c r="J38" s="36">
        <f>6275.9*1.00034535332788</f>
        <v>6278.0674029504426</v>
      </c>
      <c r="K38">
        <f>121903*1.00677290610037</f>
        <v>122728.63757235341</v>
      </c>
      <c r="L38">
        <f>142335.3*1.00792166360305</f>
        <v>143462.83236543919</v>
      </c>
      <c r="M38">
        <f>16133.19*1.00088850833531</f>
        <v>16147.524473790141</v>
      </c>
      <c r="N38">
        <f>9447.775*1.00052003301876</f>
        <v>9452.6881549538157</v>
      </c>
      <c r="O38">
        <f>6369.65*1.00035051496217</f>
        <v>6371.8826576287865</v>
      </c>
      <c r="P38" s="36">
        <f>81765.48*1.00452768154513</f>
        <v>82135.688054824699</v>
      </c>
      <c r="Q38" s="36">
        <f>137098.8*1.00762687827112</f>
        <v>138144.43585871661</v>
      </c>
      <c r="R38" s="36">
        <f>11627.98*1.00064015311325</f>
        <v>11635.423687597809</v>
      </c>
      <c r="S38" s="36">
        <f>9140.484*1.00050310606017</f>
        <v>9145.0826328932872</v>
      </c>
      <c r="T38" s="36">
        <f>5782.15*1.00031817003922</f>
        <v>5783.9897068922764</v>
      </c>
      <c r="U38">
        <f>85038.4*1.00471019992924</f>
        <v>85438.947865662674</v>
      </c>
      <c r="V38">
        <f>136914.4*1.00761650231903</f>
        <v>137957.2088451086</v>
      </c>
      <c r="W38">
        <f>11950.9*1.00065794832202</f>
        <v>11958.763074601628</v>
      </c>
      <c r="X38">
        <f>9137.359*1.00050293392565</f>
        <v>9141.954487831943</v>
      </c>
      <c r="Y38">
        <f>5934.234*1.00032654275143</f>
        <v>5936.1717810979899</v>
      </c>
      <c r="Z38" s="36">
        <f>92325.9*1.0051169544577</f>
        <v>92798.327425566167</v>
      </c>
      <c r="AA38" s="36">
        <f>141068.6*1.00785033177916</f>
        <v>142176.03531362163</v>
      </c>
      <c r="AB38" s="36">
        <f>13977.98*1.00076967666772</f>
        <v>13988.738525067858</v>
      </c>
      <c r="AC38" s="36">
        <f>9812.359*1.00054011704586</f>
        <v>9817.6588223559993</v>
      </c>
      <c r="AD38" s="36">
        <f>6312.359*1.00034736065732</f>
        <v>6314.5516651714806</v>
      </c>
      <c r="AE38">
        <f>107430.1*1.00596157908113</f>
        <v>108070.55303684372</v>
      </c>
      <c r="AF38">
        <f>140383.2*1.00781174109843</f>
        <v>141479.83721296911</v>
      </c>
      <c r="AG38">
        <f>15245.69*1.0008395691802</f>
        <v>15258.489811454881</v>
      </c>
      <c r="AH38">
        <f>9511.317*1.00052353330269</f>
        <v>9516.2964912019415</v>
      </c>
      <c r="AI38">
        <f>6416.525*1.00035309580928</f>
        <v>6418.7906480876391</v>
      </c>
      <c r="AJ38" s="36">
        <f>98024.86*1.00543538903989</f>
        <v>98557.663249680743</v>
      </c>
      <c r="AK38" s="36">
        <f>139035.3*1.0077358620557</f>
        <v>140110.85790167286</v>
      </c>
      <c r="AL38" s="36">
        <f>14120.69*1.00077754395047</f>
        <v>14131.669457085964</v>
      </c>
      <c r="AM38" s="36">
        <f>9635.275*1.00053036177701</f>
        <v>9640.3851815709804</v>
      </c>
      <c r="AN38" s="36">
        <f>6350.9*1.00034948262892</f>
        <v>6353.1195292280081</v>
      </c>
      <c r="AO38">
        <f>97433.19*1.00540231483569</f>
        <v>97959.554767825612</v>
      </c>
      <c r="AP38">
        <f>140397.8*1.00781256308879</f>
        <v>141494.66667002731</v>
      </c>
      <c r="AQ38">
        <f>13983.19*1.00076996388009</f>
        <v>13993.956551228435</v>
      </c>
      <c r="AR38">
        <f>9763.4*1.00053741994582</f>
        <v>9768.647045899017</v>
      </c>
      <c r="AS38">
        <f>6119.65*1.00033675078164</f>
        <v>6121.7107969208637</v>
      </c>
      <c r="AT38" s="36">
        <f>91814.44*1.00508839098127</f>
        <v>92281.627768446357</v>
      </c>
      <c r="AU38" s="36">
        <f>140049.9*1.00779297662026</f>
        <v>141141.30559636976</v>
      </c>
      <c r="AV38" s="36">
        <f>13931.11*1.00076709287005</f>
        <v>13941.796455152884</v>
      </c>
      <c r="AW38" s="36">
        <f>9443.609*1.00051980353116</f>
        <v>9448.5178213050949</v>
      </c>
      <c r="AX38" s="36">
        <f>6208.192*1.00034162554894</f>
        <v>6210.3128769999239</v>
      </c>
      <c r="AY38">
        <f>111957.2*1.00621514961826</f>
        <v>112653.03074884147</v>
      </c>
      <c r="AZ38">
        <f>145869.7*1.00812077699039</f>
        <v>147054.2753033551</v>
      </c>
      <c r="BA38">
        <f>15307.15*1.00084295801974</f>
        <v>15320.053284851863</v>
      </c>
      <c r="BB38">
        <f>9709.234*1.00053443602303</f>
        <v>9714.4229644056268</v>
      </c>
      <c r="BC38">
        <f>6148.817*1.00033835659177</f>
        <v>6150.8974927635381</v>
      </c>
      <c r="BD38" s="36">
        <f>94709.23*1.00525008832032</f>
        <v>95206.46182224949</v>
      </c>
      <c r="BE38" s="36">
        <f>147089.4*1.00818951727219</f>
        <v>148293.99118185605</v>
      </c>
      <c r="BF38" s="36">
        <f>13327.98*1.00073384597065</f>
        <v>13337.760684419904</v>
      </c>
      <c r="BG38" s="36">
        <f>9547.775*1.00052554165001</f>
        <v>9552.792753427424</v>
      </c>
      <c r="BH38" s="36">
        <f>6049.859*1.0003329084194</f>
        <v>6051.8730489972831</v>
      </c>
      <c r="BI38">
        <f>97015.48*1.00537896692053</f>
        <v>97537.323057699337</v>
      </c>
      <c r="BJ38">
        <f>145464.4*1.00809793807024</f>
        <v>146642.36170262462</v>
      </c>
      <c r="BK38">
        <f>14074.86*1.00077501742496</f>
        <v>14085.768261753872</v>
      </c>
      <c r="BL38">
        <f>9374.859*1.00051601640257</f>
        <v>9379.6965810157799</v>
      </c>
      <c r="BM38">
        <f>6087.359*1.00033497298646</f>
        <v>6089.3981008238843</v>
      </c>
      <c r="BN38" s="36">
        <f>111559.2*1.00619284926146</f>
        <v>112250.06930932906</v>
      </c>
      <c r="BO38" s="36">
        <f>149135.3*1.00830485248443</f>
        <v>150373.84666672122</v>
      </c>
      <c r="BP38" s="36">
        <f>15495.69*1.00085335413121</f>
        <v>15508.913311077449</v>
      </c>
      <c r="BQ38" s="36">
        <f>9731.109*1.00053564108039</f>
        <v>9736.3213817381529</v>
      </c>
      <c r="BR38" s="36">
        <f>6454.025*1.00035516050136</f>
        <v>6456.3172147547903</v>
      </c>
    </row>
    <row r="39" spans="1:70" x14ac:dyDescent="0.15">
      <c r="A39">
        <f>102179*1.00566769652572</f>
        <v>102758.11956330154</v>
      </c>
      <c r="B39">
        <f>137062.4*1.00762483006424</f>
        <v>138107.4775081969</v>
      </c>
      <c r="C39">
        <f>14510.28*1.00079902211974</f>
        <v>14521.874034683622</v>
      </c>
      <c r="D39">
        <f>9404.025*1.0005176230212</f>
        <v>9408.8927398319411</v>
      </c>
      <c r="E39">
        <f>6197.775*1.00034105202701</f>
        <v>6199.8887637267017</v>
      </c>
      <c r="F39" s="36">
        <f>109682.2*1.00608769900532</f>
        <v>110349.91221984131</v>
      </c>
      <c r="G39" s="36">
        <f>142485.3*1.00793011157583</f>
        <v>143615.22432691557</v>
      </c>
      <c r="H39" s="36">
        <f>15689.44*1.00086403786014</f>
        <v>15702.996270164396</v>
      </c>
      <c r="I39" s="36">
        <f>9826.942*1.00054092041227</f>
        <v>9832.2575935179921</v>
      </c>
      <c r="J39" s="36">
        <f>6297.775*1.00034655770207</f>
        <v>6299.9575424321538</v>
      </c>
      <c r="K39">
        <f>120015.5*1.00666698440275</f>
        <v>120815.64146658825</v>
      </c>
      <c r="L39">
        <f>141655.1*1.00788335753433</f>
        <v>142771.81779986128</v>
      </c>
      <c r="M39">
        <f>15734.23*1.00086650771126</f>
        <v>15747.863831625737</v>
      </c>
      <c r="N39">
        <f>9527.984*1.00052445142958</f>
        <v>9532.9809648298142</v>
      </c>
      <c r="O39">
        <f>6276.942*1.00034541069729</f>
        <v>6279.1101229130691</v>
      </c>
      <c r="P39" s="36">
        <f>81332.15*1.00450352383478</f>
        <v>81698.431276058895</v>
      </c>
      <c r="Q39" s="36">
        <f>136874.9*1.00761427974635</f>
        <v>137917.10377885369</v>
      </c>
      <c r="R39" s="36">
        <f>11498.82*1.00063303573646</f>
        <v>11506.099163987119</v>
      </c>
      <c r="S39" s="36">
        <f>8868.609*1.00048813068919</f>
        <v>8872.9380402233273</v>
      </c>
      <c r="T39" s="36">
        <f>5824.859*1.00032052128548</f>
        <v>5826.7259912944201</v>
      </c>
      <c r="U39">
        <f>85310.28*1.0047253661322</f>
        <v>85713.402307840501</v>
      </c>
      <c r="V39">
        <f>137951.9*1.0076748852985</f>
        <v>139010.66500921015</v>
      </c>
      <c r="W39">
        <f>11738.4*1.00064623794062</f>
        <v>11745.985799442175</v>
      </c>
      <c r="X39">
        <f>9235.275*1.0005083274795</f>
        <v>9239.9695440632386</v>
      </c>
      <c r="Y39">
        <f>5947.775*1.00032728823712</f>
        <v>5949.7216367945357</v>
      </c>
      <c r="Z39" s="36">
        <f>92639.44*1.00513446591357</f>
        <v>93115.094046932209</v>
      </c>
      <c r="AA39" s="36">
        <f>140604*1.00782417251042</f>
        <v>141704.10995165509</v>
      </c>
      <c r="AB39" s="36">
        <f>14458.19*1.00079615030823</f>
        <v>14469.700892424949</v>
      </c>
      <c r="AC39" s="36">
        <f>9802.984*1.00053960058524</f>
        <v>9808.2736959034992</v>
      </c>
      <c r="AD39" s="36">
        <f>6452.984*1.00035510318533</f>
        <v>6455.2754751732837</v>
      </c>
      <c r="AE39">
        <f>108525.9*1.0060229390761</f>
        <v>109179.54488387892</v>
      </c>
      <c r="AF39">
        <f>140512.4*1.00781901522013</f>
        <v>141611.06859421701</v>
      </c>
      <c r="AG39">
        <f>15296.73*1.00084238346951</f>
        <v>15309.615712489556</v>
      </c>
      <c r="AH39">
        <f>9535.275*1.00052485306613</f>
        <v>9540.2796183201408</v>
      </c>
      <c r="AI39">
        <f>6170.692*1.00033956094068</f>
        <v>6172.7873259801663</v>
      </c>
      <c r="AJ39" s="36">
        <f>96314.44*1.00533978592664</f>
        <v>96828.738491244207</v>
      </c>
      <c r="AK39" s="36">
        <f>139386.3*1.00775561968913</f>
        <v>140467.32713267495</v>
      </c>
      <c r="AL39" s="36">
        <f>13841.53*1.0007621546583</f>
        <v>13852.0793865675</v>
      </c>
      <c r="AM39" s="36">
        <f>9719.65*1.0005350098226</f>
        <v>9724.8501082222338</v>
      </c>
      <c r="AN39" s="36">
        <f>6266.525*1.00034483716885</f>
        <v>6268.6859307395271</v>
      </c>
      <c r="AO39">
        <f>95676.94*1.00530416015463</f>
        <v>96184.425812864924</v>
      </c>
      <c r="AP39">
        <f>139796.7*1.00777872239935</f>
        <v>140884.13972164522</v>
      </c>
      <c r="AQ39">
        <f>13859.23*1.00076313038758</f>
        <v>13869.806399561459</v>
      </c>
      <c r="AR39">
        <f>9550.9*1.0005257137962</f>
        <v>9555.9210398961259</v>
      </c>
      <c r="AS39">
        <f>6271.734*1.00034512396047</f>
        <v>6273.8985256770939</v>
      </c>
      <c r="AT39" s="36">
        <f>93056.11*1.00515773867984</f>
        <v>93536.069097942454</v>
      </c>
      <c r="AU39" s="36">
        <f>139740.5*1.00777555863001</f>
        <v>140827.0604507369</v>
      </c>
      <c r="AV39" s="36">
        <f>13766.53*1.00075802024388</f>
        <v>13776.965308427982</v>
      </c>
      <c r="AW39" s="36">
        <f>9606.109*1.00052875509699</f>
        <v>9611.1882790959917</v>
      </c>
      <c r="AX39" s="36">
        <f>6293.609*1.00034632833383</f>
        <v>6295.7886551187485</v>
      </c>
      <c r="AY39">
        <f>112669.7*1.00625507544998</f>
        <v>113374.4574744266</v>
      </c>
      <c r="AZ39">
        <f>146532.2*1.00815811264967</f>
        <v>147727.62619440397</v>
      </c>
      <c r="BA39">
        <f>15707.15*1.00086501443896</f>
        <v>15720.736911544909</v>
      </c>
      <c r="BB39">
        <f>9759.234*1.00053719044625</f>
        <v>9764.4765672675167</v>
      </c>
      <c r="BC39">
        <f>6460.275*1.00035550461795</f>
        <v>6462.5716575957267</v>
      </c>
      <c r="BD39" s="36">
        <f>96295.69*1.00533873805567</f>
        <v>96809.7874648</v>
      </c>
      <c r="BE39" s="36">
        <f>147096.7*1.00818992873059</f>
        <v>148301.411489505</v>
      </c>
      <c r="BF39" s="36">
        <f>12471.73*1.00068665179273</f>
        <v>12480.293735762943</v>
      </c>
      <c r="BG39" s="36">
        <f>9410.275*1.0005179673055</f>
        <v>9415.1492147857643</v>
      </c>
      <c r="BH39" s="36">
        <f>6092.567*1.00033525971454</f>
        <v>6094.6095922732366</v>
      </c>
      <c r="BI39">
        <f>95607.15*1.00530026027108</f>
        <v>96113.892778776193</v>
      </c>
      <c r="BJ39">
        <f>145330.1*1.00809037052061</f>
        <v>146505.87435679729</v>
      </c>
      <c r="BK39">
        <f>13663.4*1.00075233523212</f>
        <v>13673.679457210546</v>
      </c>
      <c r="BL39">
        <f>9443.609*1.00051980353116</f>
        <v>9448.5178213050949</v>
      </c>
      <c r="BM39">
        <f>6083.192*1.00033474357113</f>
        <v>6085.2283094139502</v>
      </c>
      <c r="BN39" s="36">
        <f>114108.2*1.00633569811713</f>
        <v>114831.15510788911</v>
      </c>
      <c r="BO39" s="36">
        <f>149421.7*1.00832100111489</f>
        <v>150665.03813228876</v>
      </c>
      <c r="BP39" s="36">
        <f>14914.44*1.00082130499767</f>
        <v>14926.68930410945</v>
      </c>
      <c r="BQ39" s="36">
        <f>9876.942*1.00054367488905</f>
        <v>9882.3118453460011</v>
      </c>
      <c r="BR39" s="36">
        <f>6484.234*1.00035682377153</f>
        <v>6486.5477288313632</v>
      </c>
    </row>
    <row r="40" spans="1:70" x14ac:dyDescent="0.15">
      <c r="A40">
        <f>102564.4*1.0056892570115</f>
        <v>103147.91523183028</v>
      </c>
      <c r="B40">
        <f>136985.3*1.00762049173331</f>
        <v>138029.19534623498</v>
      </c>
      <c r="C40">
        <f>14168.61*1.00078018571439</f>
        <v>14179.664147114765</v>
      </c>
      <c r="D40">
        <f>9430.067*1.00051905755982</f>
        <v>9434.9617475659579</v>
      </c>
      <c r="E40">
        <f>6163.4*1.00033915947221</f>
        <v>6165.4903754910183</v>
      </c>
      <c r="F40" s="36">
        <f>108099.9*1.00599908360757</f>
        <v>108748.40033806996</v>
      </c>
      <c r="G40" s="36">
        <f>142454*1.00792834874793</f>
        <v>143583.42499253762</v>
      </c>
      <c r="H40" s="36">
        <f>14698.82*1.00080941686174</f>
        <v>14710.717472755681</v>
      </c>
      <c r="I40" s="36">
        <f>9582.15*1.00052743526302</f>
        <v>9587.2039638055467</v>
      </c>
      <c r="J40" s="36">
        <f>6402.984*1.00035235026588</f>
        <v>6405.2400931148259</v>
      </c>
      <c r="K40">
        <f>119762.4*1.00665278362185</f>
        <v>120559.15333323344</v>
      </c>
      <c r="L40">
        <f>141655.1*1.00788335753433</f>
        <v>142771.81779986128</v>
      </c>
      <c r="M40">
        <f>16336.32*1.00089971048393</f>
        <v>16351.017958372833</v>
      </c>
      <c r="N40">
        <f>9465.484*1.00052100853564</f>
        <v>9470.4155979579646</v>
      </c>
      <c r="O40">
        <f>6383.192*1.00035126055653</f>
        <v>6385.4341635743576</v>
      </c>
      <c r="P40" s="36">
        <f>83597.78*1.0046298497192</f>
        <v>83984.825158258755</v>
      </c>
      <c r="Q40" s="36">
        <f>138431.1*1.00770185463531</f>
        <v>139497.27620920606</v>
      </c>
      <c r="R40" s="36">
        <f>11570.69*1.00063699612241</f>
        <v>11578.060484663609</v>
      </c>
      <c r="S40" s="36">
        <f>8846.734*1.00048692580351</f>
        <v>8851.0417030613899</v>
      </c>
      <c r="T40" s="36">
        <f>5641.525*1.00031042836882</f>
        <v>5643.2762894034067</v>
      </c>
      <c r="U40">
        <f>85458.19*1.0047336172416</f>
        <v>85862.716361619925</v>
      </c>
      <c r="V40">
        <f>138050.9*1.00768045683253</f>
        <v>139111.19397814191</v>
      </c>
      <c r="W40">
        <f>12239.44*1.00067384974949</f>
        <v>12247.687543577898</v>
      </c>
      <c r="X40">
        <f>9049.859*1.00049811419511</f>
        <v>9054.3668632316439</v>
      </c>
      <c r="Y40">
        <f>5743.609*1.00031604826689</f>
        <v>5745.4242576701445</v>
      </c>
      <c r="Z40" s="36">
        <f>92240.48*1.00511218384234</f>
        <v>92712.030291465679</v>
      </c>
      <c r="AA40" s="36">
        <f>141791.5*1.00789103867086</f>
        <v>142910.38220969925</v>
      </c>
      <c r="AB40" s="36">
        <f>14138.4*1.00077852027606</f>
        <v>14149.407031071045</v>
      </c>
      <c r="AC40" s="36">
        <f>9962.359*1.00054838052456</f>
        <v>9967.8221636542767</v>
      </c>
      <c r="AD40" s="36">
        <f>6344.65*1.00034913851855</f>
        <v>6346.8651617017176</v>
      </c>
      <c r="AE40">
        <f>105941.5*1.00587824202477</f>
        <v>106564.24977746718</v>
      </c>
      <c r="AF40">
        <f>139359.2*1.00775409420073</f>
        <v>140439.80436453837</v>
      </c>
      <c r="AG40">
        <f>15572.78*1.00085760497364</f>
        <v>15586.135293581401</v>
      </c>
      <c r="AH40">
        <f>9675.9*1.0005325997168</f>
        <v>9681.0533815997842</v>
      </c>
      <c r="AI40">
        <f>6259.234*1.00034443574908</f>
        <v>6261.3899039514581</v>
      </c>
      <c r="AJ40" s="36">
        <f>99633.19*1.00552531080883</f>
        <v>100183.69434162522</v>
      </c>
      <c r="AK40" s="36">
        <f>139328*1.00775233792747</f>
        <v>140408.11773875853</v>
      </c>
      <c r="AL40" s="36">
        <f>14265.48*1.00078552608863</f>
        <v>14276.685906706829</v>
      </c>
      <c r="AM40" s="36">
        <f>9527.984*1.00052445142958</f>
        <v>9532.9809648298142</v>
      </c>
      <c r="AN40" s="36">
        <f>6262.359*1.00034460780179</f>
        <v>6264.5170577690096</v>
      </c>
      <c r="AO40">
        <f>94756.11*1.00525270758918</f>
        <v>95253.836138118175</v>
      </c>
      <c r="AP40">
        <f>139749.9*1.00777608779931</f>
        <v>140836.6074923448</v>
      </c>
      <c r="AQ40">
        <f>14505.07*1.00079873488234</f>
        <v>14516.655705379782</v>
      </c>
      <c r="AR40">
        <f>9554.025*1.00052588594249</f>
        <v>9559.0493274416967</v>
      </c>
      <c r="AS40">
        <f>6246.734*1.0003437475391</f>
        <v>6248.8812994399123</v>
      </c>
      <c r="AT40" s="36">
        <f>92347.78*1.00511817644318</f>
        <v>92820.432232175968</v>
      </c>
      <c r="AU40" s="36">
        <f>139786.3*1.00777813693088</f>
        <v>140873.57698246106</v>
      </c>
      <c r="AV40" s="36">
        <f>13627.98*1.0007503827371</f>
        <v>13638.206200933544</v>
      </c>
      <c r="AW40" s="36">
        <f>9485.275*1.00052209874481</f>
        <v>9490.227250171678</v>
      </c>
      <c r="AX40" s="36">
        <f>6242.567*1.00034351811774</f>
        <v>6244.711434865706</v>
      </c>
      <c r="AY40">
        <f>110371.7*1.00612632122035</f>
        <v>111047.8724878361</v>
      </c>
      <c r="AZ40">
        <f>146216.5*1.00814032063271</f>
        <v>147406.74919179262</v>
      </c>
      <c r="BA40">
        <f>16270.69*1.00089609110043</f>
        <v>16285.270020506858</v>
      </c>
      <c r="BB40">
        <f>9820.692*1.00054057610427</f>
        <v>9826.0008314225943</v>
      </c>
      <c r="BC40">
        <f>6314.442*1.00034747534177</f>
        <v>6316.6361128920371</v>
      </c>
      <c r="BD40" s="36">
        <f>97406.11*1.00540080114875</f>
        <v>97932.181030783278</v>
      </c>
      <c r="BE40" s="36">
        <f>147430.1*1.00820872108151</f>
        <v>148640.31256991913</v>
      </c>
      <c r="BF40" s="36">
        <f>13975.9*1.00076956200335</f>
        <v>13986.65532160262</v>
      </c>
      <c r="BG40" s="36">
        <f>9260.275*1.00050970458044</f>
        <v>9264.995004583634</v>
      </c>
      <c r="BH40" s="36">
        <f>6210.275*1.00034174023142</f>
        <v>6212.3973008156818</v>
      </c>
      <c r="BI40">
        <f>96796.73*1.00536674053161</f>
        <v>97316.212934218303</v>
      </c>
      <c r="BJ40">
        <f>146296.7*1.0081448404031</f>
        <v>147488.26327300019</v>
      </c>
      <c r="BK40">
        <f>13769.65*1.0007581922345</f>
        <v>13780.090041701782</v>
      </c>
      <c r="BL40">
        <f>9460.275*1.00052072159269</f>
        <v>9465.2011694652847</v>
      </c>
      <c r="BM40">
        <f>6304.025*1.00034690180978</f>
        <v>6306.2118776813977</v>
      </c>
      <c r="BN40" s="36">
        <f>113635.3*1.00630919165831</f>
        <v>114352.24688684956</v>
      </c>
      <c r="BO40" s="36">
        <f>148759.2*1.00828364731133</f>
        <v>149991.46874711561</v>
      </c>
      <c r="BP40" s="36">
        <f>15411.32*1.00084870192225</f>
        <v>15424.399616908411</v>
      </c>
      <c r="BQ40" s="36">
        <f>9708.192*1.00053437862109</f>
        <v>9713.3798502542359</v>
      </c>
      <c r="BR40" s="36">
        <f>6348.817*1.00034936794378</f>
        <v>6351.0350731407261</v>
      </c>
    </row>
    <row r="41" spans="1:70" x14ac:dyDescent="0.15">
      <c r="A41">
        <f>102645.7*1.00569380536614</f>
        <v>103230.14463747118</v>
      </c>
      <c r="B41">
        <f>136151.9*1.00757360083024</f>
        <v>137183.06014287876</v>
      </c>
      <c r="C41">
        <f>14179.03*1.00078076015748</f>
        <v>14190.100421695715</v>
      </c>
      <c r="D41">
        <f>9392.567*1.00051699185261</f>
        <v>9397.4228806140927</v>
      </c>
      <c r="E41">
        <f>6142.567*1.00033801249288</f>
        <v>6144.6432643843527</v>
      </c>
      <c r="F41" s="36">
        <f>108292.6*1.00600987435656</f>
        <v>108943.42491974522</v>
      </c>
      <c r="G41" s="36">
        <f>143032.2*1.00796091468818</f>
        <v>144170.86714186272</v>
      </c>
      <c r="H41" s="36">
        <f>14723.82*1.00081079520659</f>
        <v>14735.758002678695</v>
      </c>
      <c r="I41" s="36">
        <f>9739.442*1.00053610013264</f>
        <v>9744.6633161480386</v>
      </c>
      <c r="J41" s="36">
        <f>6263.4*1.00034466511601</f>
        <v>6265.558775487616</v>
      </c>
      <c r="K41">
        <f>121967.6*1.00677653188101</f>
        <v>122794.11732985028</v>
      </c>
      <c r="L41">
        <f>141900.9*1.00789719947504</f>
        <v>143021.51971298771</v>
      </c>
      <c r="M41">
        <f>16341.53*1.0008999978083</f>
        <v>16356.237341184269</v>
      </c>
      <c r="N41">
        <f>9812.359*1.00054011704586</f>
        <v>9817.6588223559993</v>
      </c>
      <c r="O41">
        <f>6386.317*1.00035143261277</f>
        <v>6388.5613600692877</v>
      </c>
      <c r="P41" s="36">
        <f>82036.32*1.00454278148833</f>
        <v>82408.993075866732</v>
      </c>
      <c r="Q41" s="36">
        <f>137923.8*1.00767330390017</f>
        <v>138982.13123246626</v>
      </c>
      <c r="R41" s="36">
        <f>11329.03*1.0006236796699</f>
        <v>11336.095685690687</v>
      </c>
      <c r="S41" s="36">
        <f>8915.484*1.00049071260172</f>
        <v>8919.8589403492333</v>
      </c>
      <c r="T41" s="36">
        <f>5837.359*1.00032120944752</f>
        <v>5839.2340148593667</v>
      </c>
      <c r="U41">
        <f>83916.53*1.00464762625523</f>
        <v>84306.542668075796</v>
      </c>
      <c r="V41">
        <f>137771.7*1.00766474421877</f>
        <v>138827.68484108514</v>
      </c>
      <c r="W41">
        <f>12285.28*1.0006763760598</f>
        <v>12293.589469279941</v>
      </c>
      <c r="X41">
        <f>9035.275*1.00049731087674</f>
        <v>9039.7683405318367</v>
      </c>
      <c r="Y41">
        <f>5855.067*1.00032218432781</f>
        <v>5856.9534108256776</v>
      </c>
      <c r="Z41" s="36">
        <f>91314.44*1.00506046986834</f>
        <v>91776.533972164354</v>
      </c>
      <c r="AA41" s="36">
        <f>141722.8*1.00788716992393</f>
        <v>142840.59180569515</v>
      </c>
      <c r="AB41" s="36">
        <f>13811.32*1.00076048931</f>
        <v>13821.823361216988</v>
      </c>
      <c r="AC41" s="36">
        <f>9759.234*1.00053719044625</f>
        <v>9764.4765672675167</v>
      </c>
      <c r="AD41" s="36">
        <f>6272.775*1.00034518127478</f>
        <v>6274.9402444709067</v>
      </c>
      <c r="AE41">
        <f>107498.8*1.00596542564939</f>
        <v>108140.07609879864</v>
      </c>
      <c r="AF41">
        <f>140350.9*1.00780992259268</f>
        <v>141447.02966481296</v>
      </c>
      <c r="AG41">
        <f>15488.4*1.00085295215397</f>
        <v>15501.610864141549</v>
      </c>
      <c r="AH41">
        <f>9793.609*1.00053908412542</f>
        <v>9798.8885791424709</v>
      </c>
      <c r="AI41">
        <f>6170.692*1.00033956094068</f>
        <v>6172.7873259801663</v>
      </c>
      <c r="AJ41" s="36">
        <f>97045.69*1.00538065545488</f>
        <v>97567.859421271103</v>
      </c>
      <c r="AK41" s="36">
        <f>140499.9*1.00781831144759</f>
        <v>141598.37197655524</v>
      </c>
      <c r="AL41" s="36">
        <f>13871.73*1.00076381946364</f>
        <v>13882.325497368358</v>
      </c>
      <c r="AM41" s="36">
        <f>9504.025*1.00052313161264</f>
        <v>9508.9968559248209</v>
      </c>
      <c r="AN41" s="36">
        <f>6336.317*1.00034867972362</f>
        <v>6338.5263452603294</v>
      </c>
      <c r="AO41">
        <f>94473.82*1.00523693585558</f>
        <v>94968.573335371606</v>
      </c>
      <c r="AP41">
        <f>139564.4*1.00776564530418</f>
        <v>140648.20762749069</v>
      </c>
      <c r="AQ41">
        <f>14009.23*1.00077139939437</f>
        <v>14020.03671153759</v>
      </c>
      <c r="AR41">
        <f>9725.9*1.00053535412485</f>
        <v>9731.1068006828791</v>
      </c>
      <c r="AS41">
        <f>6173.817*1.00033973299088</f>
        <v>6175.9144493145559</v>
      </c>
      <c r="AT41" s="36">
        <f>91963.4*1.00509670968986</f>
        <v>92432.110751892469</v>
      </c>
      <c r="AU41" s="36">
        <f>140426.9*1.00781420144545</f>
        <v>141524.22408496006</v>
      </c>
      <c r="AV41" s="36">
        <f>13069.65*1.00071960681808</f>
        <v>13079.055009249918</v>
      </c>
      <c r="AW41" s="36">
        <f>9481.109*1.00052186925579</f>
        <v>9486.0568992978951</v>
      </c>
      <c r="AX41" s="36">
        <f>6173.817*1.00033973299088</f>
        <v>6175.9144493145559</v>
      </c>
      <c r="AY41">
        <f>109528*1.00607906213054</f>
        <v>110193.82751703379</v>
      </c>
      <c r="AZ41">
        <f>145994.7*1.00812782113613</f>
        <v>147181.31880842298</v>
      </c>
      <c r="BA41">
        <f>15540.48*1.00085582390321</f>
        <v>15553.779914251356</v>
      </c>
      <c r="BB41">
        <f>9824.859*1.00054080566126</f>
        <v>9830.1723393682805</v>
      </c>
      <c r="BC41">
        <f>6397.775*1.00035206346804</f>
        <v>6400.0274228542394</v>
      </c>
      <c r="BD41" s="36">
        <f>94070.69*1.00521441399837</f>
        <v>94561.213522772334</v>
      </c>
      <c r="BE41" s="36">
        <f>147101.9*1.00819022182456</f>
        <v>148306.69719181422</v>
      </c>
      <c r="BF41" s="36">
        <f>13280.07*1.00073120512498</f>
        <v>13289.780455244092</v>
      </c>
      <c r="BG41" s="36">
        <f>9225.9*1.00050781106812</f>
        <v>9230.5850141333685</v>
      </c>
      <c r="BH41" s="36">
        <f>6065.484*1.00033376865412</f>
        <v>6067.5084684312669</v>
      </c>
      <c r="BI41">
        <f>101049.9*1.00560453912281</f>
        <v>101616.23811790602</v>
      </c>
      <c r="BJ41">
        <f>147256.1*1.00819891330443</f>
        <v>148463.43999744847</v>
      </c>
      <c r="BK41">
        <f>13744.65*1.00075681410703</f>
        <v>13755.052145016189</v>
      </c>
      <c r="BL41">
        <f>9529.025*1.00052450877472</f>
        <v>9534.0230572270266</v>
      </c>
      <c r="BM41">
        <f>6239.442*1.00034334606559</f>
        <v>6241.584287862177</v>
      </c>
      <c r="BN41" s="36">
        <f>113407.2*1.00629640720393</f>
        <v>114121.25791105753</v>
      </c>
      <c r="BO41" s="36">
        <f>148404*1.00826362174807</f>
        <v>149630.35452190059</v>
      </c>
      <c r="BP41" s="36">
        <f>15126.94*1.00083302152806</f>
        <v>15139.541066673673</v>
      </c>
      <c r="BQ41" s="36">
        <f>9750.9*1.00053673133741</f>
        <v>9756.1336135979509</v>
      </c>
      <c r="BR41" s="36">
        <f>6561.317*1.00036106790377</f>
        <v>6563.6860809751606</v>
      </c>
    </row>
    <row r="42" spans="1:70" x14ac:dyDescent="0.15">
      <c r="A42">
        <f>103469.7*1.00573990779989</f>
        <v>104063.60653808228</v>
      </c>
      <c r="B42">
        <f>136062.4*1.00756856554025</f>
        <v>137092.1971919637</v>
      </c>
      <c r="C42">
        <f>14137.36*1.00077846294235</f>
        <v>14148.365410862662</v>
      </c>
      <c r="D42">
        <f>9365.484*1.00051549997927</f>
        <v>9370.311906807854</v>
      </c>
      <c r="E42">
        <f>6197.775*1.00034105202701</f>
        <v>6199.8887637267017</v>
      </c>
      <c r="F42" s="36">
        <f>110317.6*1.00612329065774</f>
        <v>110993.1067294643</v>
      </c>
      <c r="G42" s="36">
        <f>142005.1*1.00790306754921</f>
        <v>143127.37589763233</v>
      </c>
      <c r="H42" s="36">
        <f>14935.28*1.00082245402649</f>
        <v>14947.563581172757</v>
      </c>
      <c r="I42" s="36">
        <f>9785.275*1.00053862501397</f>
        <v>9790.5455938835748</v>
      </c>
      <c r="J42" s="36">
        <f>6358.192*1.00034988410983</f>
        <v>6360.4166303480479</v>
      </c>
      <c r="K42">
        <f>122896.7*1.00682868348053</f>
        <v>123735.92266510165</v>
      </c>
      <c r="L42">
        <f>142656.1*1.00793973126012</f>
        <v>143788.75109661679</v>
      </c>
      <c r="M42">
        <f>16595.69*1.00091401468511</f>
        <v>16610.858704369533</v>
      </c>
      <c r="N42">
        <f>9508.192*1.00052336115762</f>
        <v>9513.1682183719931</v>
      </c>
      <c r="O42">
        <f>6345.692*1.00034919588861</f>
        <v>6347.9078895567845</v>
      </c>
      <c r="P42" s="36">
        <f>81591.53*1.00451798379842</f>
        <v>81960.159210628291</v>
      </c>
      <c r="Q42" s="36">
        <f>137394.7*1.007643528857</f>
        <v>138444.88035424886</v>
      </c>
      <c r="R42" s="36">
        <f>11533.19*1.00063492968447</f>
        <v>11540.512764687634</v>
      </c>
      <c r="S42" s="36">
        <f>9235.275*1.0005083274795</f>
        <v>9239.9695440632386</v>
      </c>
      <c r="T42" s="36">
        <f>5762.359*1.00031708049663</f>
        <v>5764.1861316534805</v>
      </c>
      <c r="U42">
        <f>85683.19*1.00474616918102</f>
        <v>86089.85691570949</v>
      </c>
      <c r="V42">
        <f>136626.9*1.00760032570277</f>
        <v>137665.30893975977</v>
      </c>
      <c r="W42">
        <f>12023.82*1.00066196686861</f>
        <v>12031.779370474131</v>
      </c>
      <c r="X42">
        <f>9034.234*1.00049725353627</f>
        <v>9038.7263048039913</v>
      </c>
      <c r="Y42">
        <f>5995.692*1.00032992627119</f>
        <v>5997.6701363047641</v>
      </c>
      <c r="Z42" s="36">
        <f>92216.53*1.00511084627275</f>
        <v>92687.834508636442</v>
      </c>
      <c r="AA42" s="36">
        <f>140904*1.00784106375475</f>
        <v>142008.83724729929</v>
      </c>
      <c r="AB42" s="36">
        <f>13955.07*1.000768413708</f>
        <v>13965.793267084098</v>
      </c>
      <c r="AC42" s="36">
        <f>9548.817*1.00052559905043</f>
        <v>9553.8358491479285</v>
      </c>
      <c r="AD42" s="36">
        <f>6415.484*1.00035303849361</f>
        <v>6417.7489128071384</v>
      </c>
      <c r="AE42">
        <f>107584.2*1.00597020732571</f>
        <v>108226.49997897065</v>
      </c>
      <c r="AF42">
        <f>140853*1.00783819218315</f>
        <v>141957.03288357324</v>
      </c>
      <c r="AG42">
        <f>14973.82*1.00082457896834</f>
        <v>14986.16709704771</v>
      </c>
      <c r="AH42">
        <f>9757.15*1.00053707564144</f>
        <v>9762.390327594876</v>
      </c>
      <c r="AI42">
        <f>6358.192*1.00034988410983</f>
        <v>6360.4166303480479</v>
      </c>
      <c r="AJ42" s="36">
        <f>100380.1*1.00556707878371</f>
        <v>100938.9239250167</v>
      </c>
      <c r="AK42" s="36">
        <f>139318.6*1.00775180879566</f>
        <v>140398.57114887904</v>
      </c>
      <c r="AL42" s="36">
        <f>13617.57*1.00074980889757</f>
        <v>13627.780575149282</v>
      </c>
      <c r="AM42" s="36">
        <f>9509.234*1.00052341855766</f>
        <v>9514.2113095447312</v>
      </c>
      <c r="AN42" s="36">
        <f>6327.984*1.00034822092933</f>
        <v>6330.1875364692651</v>
      </c>
      <c r="AO42">
        <f>95201.94*1.005277617928</f>
        <v>95704.379465324397</v>
      </c>
      <c r="AP42">
        <f>139503*1.00776218893811</f>
        <v>140585.84864343319</v>
      </c>
      <c r="AQ42">
        <f>14437.36*1.00079500192133</f>
        <v>14448.837728938935</v>
      </c>
      <c r="AR42">
        <f>9571.734*1.00052686147649</f>
        <v>9576.7769779078099</v>
      </c>
      <c r="AS42">
        <f>6397.775*1.00035206346804</f>
        <v>6400.0274228542394</v>
      </c>
      <c r="AT42" s="36">
        <f>92612.36*1.00513295343808</f>
        <v>93087.734931670697</v>
      </c>
      <c r="AU42" s="36">
        <f>139278*1.00774952340619</f>
        <v>140357.33812096732</v>
      </c>
      <c r="AV42" s="36">
        <f>13509.23*1.00074383683566</f>
        <v>13519.278662895404</v>
      </c>
      <c r="AW42" s="36">
        <f>9216.525*1.00050729465753</f>
        <v>9221.2004938934915</v>
      </c>
      <c r="AX42" s="36">
        <f>6201.942*1.00034128144668</f>
        <v>6204.0586077379858</v>
      </c>
      <c r="AY42">
        <f>112714.4*1.00625758042933</f>
        <v>113419.71942354366</v>
      </c>
      <c r="AZ42">
        <f>146716.5*1.00816849974676</f>
        <v>147914.95369309551</v>
      </c>
      <c r="BA42">
        <f>15813.4*1.0008708734205</f>
        <v>15827.171469747735</v>
      </c>
      <c r="BB42">
        <f>9939.442*1.00054711801703</f>
        <v>9944.8800477974237</v>
      </c>
      <c r="BC42">
        <f>6255.067*1.00034420632724</f>
        <v>6257.2200336387104</v>
      </c>
      <c r="BD42" s="36">
        <f>97184.23*1.00538839901156</f>
        <v>97707.897408871213</v>
      </c>
      <c r="BE42" s="36">
        <f>148074.9*1.0082450687253</f>
        <v>149295.78772699193</v>
      </c>
      <c r="BF42" s="36">
        <f>13977.98*1.00076967666772</f>
        <v>13988.738525067858</v>
      </c>
      <c r="BG42" s="36">
        <f>9377.984*1.00051618854384</f>
        <v>9382.8248079051154</v>
      </c>
      <c r="BH42" s="36">
        <f>5879.025*1.00032350329451</f>
        <v>5880.9268839560054</v>
      </c>
      <c r="BI42">
        <f>94576.94*1.00524269715366</f>
        <v>95072.778254139892</v>
      </c>
      <c r="BJ42">
        <f>145430.1*1.00809600531422</f>
        <v>146607.50286244755</v>
      </c>
      <c r="BK42">
        <f>14690.48*1.00080895704717</f>
        <v>14702.363967322312</v>
      </c>
      <c r="BL42">
        <f>9572.775*1.00052691882204</f>
        <v>9577.8190753266535</v>
      </c>
      <c r="BM42">
        <f>6169.65*1.00033950357229</f>
        <v>6171.7446182147787</v>
      </c>
      <c r="BN42" s="36">
        <f>114437.4*1.00635415130423</f>
        <v>115164.55255446269</v>
      </c>
      <c r="BO42" s="36">
        <f>149655.1*1.00833416192182</f>
        <v>150902.34983582617</v>
      </c>
      <c r="BP42" s="36">
        <f>16106.11*1.00088701496451</f>
        <v>16120.396360590044</v>
      </c>
      <c r="BQ42" s="36">
        <f>9806.109*1.00053977273869</f>
        <v>9811.4020703108235</v>
      </c>
      <c r="BR42" s="36">
        <f>6590.484*1.00036267383102</f>
        <v>6592.8741960805564</v>
      </c>
    </row>
    <row r="43" spans="1:70" x14ac:dyDescent="0.15">
      <c r="A43">
        <f>104758.2*1.00581201153532</f>
        <v>105367.05586681936</v>
      </c>
      <c r="B43">
        <f>137512.4*1.0076501521825</f>
        <v>138564.39078698083</v>
      </c>
      <c r="C43">
        <f>14565.48*1.0008020654179</f>
        <v>14577.162467803113</v>
      </c>
      <c r="D43">
        <f>9382.15*1.00051641802896</f>
        <v>9386.9951114104078</v>
      </c>
      <c r="E43">
        <f>6054.025*1.0003331377784</f>
        <v>6056.0418244388775</v>
      </c>
      <c r="F43" s="36">
        <f>110020.7*1.00610665946339</f>
        <v>110692.55894882379</v>
      </c>
      <c r="G43" s="36">
        <f>141938.4*1.00789931129412</f>
        <v>143059.6156061893</v>
      </c>
      <c r="H43" s="36">
        <f>14940.48*1.00082274073296</f>
        <v>14952.772141465974</v>
      </c>
      <c r="I43" s="36">
        <f>9765.484*1.00053753475075</f>
        <v>9770.7332870078935</v>
      </c>
      <c r="J43" s="36">
        <f>6287.359*1.00034598422671</f>
        <v>6289.5343270416633</v>
      </c>
      <c r="K43">
        <f>121535.3*1.00675226908418</f>
        <v>122355.93904882653</v>
      </c>
      <c r="L43">
        <f>141872.8*1.00789561702732</f>
        <v>142992.97329539355</v>
      </c>
      <c r="M43">
        <f>15848.82*1.00087282662103</f>
        <v>15862.653272007914</v>
      </c>
      <c r="N43">
        <f>9527.984*1.00052445142958</f>
        <v>9532.9809648298142</v>
      </c>
      <c r="O43">
        <f>6261.317*1.00034455043253</f>
        <v>6263.4743394805564</v>
      </c>
      <c r="P43" s="36">
        <f>80762.36*1.0044717612733</f>
        <v>81123.509993788321</v>
      </c>
      <c r="Q43" s="36">
        <f>137123.8*1.00762828501387</f>
        <v>138169.81942858489</v>
      </c>
      <c r="R43" s="36">
        <f>11915.48*1.00065599637953</f>
        <v>11923.296511740362</v>
      </c>
      <c r="S43" s="36">
        <f>9020.692*1.00049650761539</f>
        <v>9025.1708422740867</v>
      </c>
      <c r="T43" s="36">
        <f>5880.067*1.00032356066016</f>
        <v>5881.9695583603043</v>
      </c>
      <c r="U43">
        <f>84602.98*1.00468591245481</f>
        <v>84999.422157696041</v>
      </c>
      <c r="V43">
        <f>137145.7*1.00762951732537</f>
        <v>138192.05549425</v>
      </c>
      <c r="W43">
        <f>12110.28*1.00066673165349</f>
        <v>12118.354307008629</v>
      </c>
      <c r="X43">
        <f>9060.275*1.00049868793218</f>
        <v>9064.7932498047321</v>
      </c>
      <c r="Y43">
        <f>5844.65*1.00032161083932</f>
        <v>5846.5297027920315</v>
      </c>
      <c r="Z43" s="36">
        <f>90255.07*1.00500131998883</f>
        <v>90706.46448568425</v>
      </c>
      <c r="AA43" s="36">
        <f>140423.8*1.00781402691223</f>
        <v>141521.0753523176</v>
      </c>
      <c r="AB43" s="36">
        <f>14496.73*1.00079827508249</f>
        <v>14508.302378336584</v>
      </c>
      <c r="AC43" s="36">
        <f>9597.775*1.00052829599976</f>
        <v>9602.8454661390952</v>
      </c>
      <c r="AD43" s="36">
        <f>6491.525*1.00035722520622</f>
        <v>6493.8439363568077</v>
      </c>
      <c r="AE43">
        <f>109500.9*1.00607754425922</f>
        <v>110166.39656617442</v>
      </c>
      <c r="AF43">
        <f>141262.4*1.00786124427739</f>
        <v>142372.89823361038</v>
      </c>
      <c r="AG43">
        <f>15169.65*1.0008353764625</f>
        <v>15182.322368554362</v>
      </c>
      <c r="AH43">
        <f>9630.067*1.0005300748811</f>
        <v>9635.1716566200084</v>
      </c>
      <c r="AI43">
        <f>6230.067*1.00034282990966</f>
        <v>6232.2028533067851</v>
      </c>
      <c r="AJ43" s="36">
        <f>97740.48*1.00541949186133</f>
        <v>98270.183735882485</v>
      </c>
      <c r="AK43" s="36">
        <f>140346.7*1.00780968613135</f>
        <v>141442.76367657073</v>
      </c>
      <c r="AL43" s="36">
        <f>15029.03*1.00082762305109</f>
        <v>15041.468371663523</v>
      </c>
      <c r="AM43" s="36">
        <f>9637.359*1.00053047657951</f>
        <v>9642.4713932378309</v>
      </c>
      <c r="AN43" s="36">
        <f>6409.234*1.00035269437957</f>
        <v>6411.494500809149</v>
      </c>
      <c r="AO43">
        <f>96920.69*1.00537366885696</f>
        <v>97441.509693448068</v>
      </c>
      <c r="AP43">
        <f>140295.7*1.00780681482859</f>
        <v>141390.96255114742</v>
      </c>
      <c r="AQ43">
        <f>14457.15*1.00079609297148</f>
        <v>14468.659235502633</v>
      </c>
      <c r="AR43">
        <f>9636.317*1.00053041917825</f>
        <v>9641.4282873444954</v>
      </c>
      <c r="AS43">
        <f>6455.067*1.00035521787245</f>
        <v>6457.3599551662619</v>
      </c>
      <c r="AT43" s="36">
        <f>94440.48*1.00523507317628</f>
        <v>94934.882823603009</v>
      </c>
      <c r="AU43" s="36">
        <f>139608.2*1.00776811094215</f>
        <v>140692.69198603387</v>
      </c>
      <c r="AV43" s="36">
        <f>14312.36*1.00078811058041</f>
        <v>14323.639722346637</v>
      </c>
      <c r="AW43" s="36">
        <f>9385.275*1.00051659017044</f>
        <v>9390.1233408118769</v>
      </c>
      <c r="AX43" s="36">
        <f>6084.234*1.00033480093871</f>
        <v>6086.2710072545324</v>
      </c>
      <c r="AY43">
        <f>110712.4*1.00614540711299</f>
        <v>111392.7727704562</v>
      </c>
      <c r="AZ43">
        <f>145928*1.00812406236154</f>
        <v>147113.52817229481</v>
      </c>
      <c r="BA43">
        <f>15171.73*1.0008354911495</f>
        <v>15184.405846137604</v>
      </c>
      <c r="BB43">
        <f>9768.609*1.00053770690314</f>
        <v>9773.8616484933755</v>
      </c>
      <c r="BC43">
        <f>6414.442*1.0003529811229</f>
        <v>6416.706176939937</v>
      </c>
      <c r="BD43" s="36">
        <f>97005.07*1.00537838507402</f>
        <v>97526.800620592287</v>
      </c>
      <c r="BE43" s="36">
        <f>147374.9*1.00820560961771</f>
        <v>148584.20089684907</v>
      </c>
      <c r="BF43" s="36">
        <f>13504.03*1.00074355019702</f>
        <v>13514.070924167067</v>
      </c>
      <c r="BG43" s="36">
        <f>9624.859*1.00052978798544</f>
        <v>9629.9581346597552</v>
      </c>
      <c r="BH43" s="36">
        <f>6052.984*1.00033308046616</f>
        <v>6055.0001307323801</v>
      </c>
      <c r="BI43">
        <f>95712.36*1.00530613945093</f>
        <v>96220.22312933761</v>
      </c>
      <c r="BJ43">
        <f>145357.2*1.00809189754032</f>
        <v>146533.41556914779</v>
      </c>
      <c r="BK43">
        <f>14034.23*1.00077277758211</f>
        <v>14045.075338326176</v>
      </c>
      <c r="BL43">
        <f>9574.859*1.00052703362336</f>
        <v>9579.9052726319314</v>
      </c>
      <c r="BM43">
        <f>6083.192*1.00033474357113</f>
        <v>6085.2283094139502</v>
      </c>
      <c r="BN43" s="36">
        <f>110989.4*1.0061609253564</f>
        <v>111673.1974087516</v>
      </c>
      <c r="BO43" s="36">
        <f>148895.7*1.00829134326403</f>
        <v>150130.24535923803</v>
      </c>
      <c r="BP43" s="36">
        <f>15606.11*1.00085944284977</f>
        <v>15619.522559652223</v>
      </c>
      <c r="BQ43" s="36">
        <f>9894.65*1.00054465042001</f>
        <v>9900.039125278352</v>
      </c>
      <c r="BR43" s="36">
        <f>6618.609*1.00036422239337</f>
        <v>6621.0196456107606</v>
      </c>
    </row>
    <row r="44" spans="1:70" x14ac:dyDescent="0.15">
      <c r="A44">
        <f>105532.2*1.00585533160995</f>
        <v>106150.12602652758</v>
      </c>
      <c r="B44">
        <f>137617.6*1.007656072207</f>
        <v>138671.21028255406</v>
      </c>
      <c r="C44">
        <f>13962.36*1.00076881558336</f>
        <v>13973.094479948484</v>
      </c>
      <c r="D44">
        <f>9406.109*1.00051773781932</f>
        <v>9410.9788983619455</v>
      </c>
      <c r="E44">
        <f>6004.025*1.00033038504031</f>
        <v>6006.0086400416467</v>
      </c>
      <c r="F44" s="36">
        <f>111429*1.00618555434158</f>
        <v>112118.25013472793</v>
      </c>
      <c r="G44" s="36">
        <f>143822.8*1.0080054487486</f>
        <v>144974.16605428015</v>
      </c>
      <c r="H44" s="36">
        <f>15167.57*1.00083526177554</f>
        <v>15180.238891448827</v>
      </c>
      <c r="I44" s="36">
        <f>9664.442*1.00053196851985</f>
        <v>9669.5831789059139</v>
      </c>
      <c r="J44" s="36">
        <f>6163.4*1.00033915947221</f>
        <v>6165.4903754910183</v>
      </c>
      <c r="K44">
        <f>121367.6*1.00674285741066</f>
        <v>122185.96442107404</v>
      </c>
      <c r="L44">
        <f>142320.7*1.00792084134507</f>
        <v>143447.99968481931</v>
      </c>
      <c r="M44">
        <f>15744.65*1.00086708230304</f>
        <v>15758.301907382556</v>
      </c>
      <c r="N44">
        <f>9467.567*1.00052112327983</f>
        <v>9472.5007695670483</v>
      </c>
      <c r="O44">
        <f>6364.442*1.00035022822097</f>
        <v>6366.6710071991265</v>
      </c>
      <c r="P44" s="36">
        <f>81841.53*1.00453192143596</f>
        <v>82212.429384158764</v>
      </c>
      <c r="Q44" s="36">
        <f>137661.3*1.00765853141142</f>
        <v>138715.58339018689</v>
      </c>
      <c r="R44" s="36">
        <f>11345.69*1.00062459768684</f>
        <v>11352.776491729604</v>
      </c>
      <c r="S44" s="36">
        <f>9096.734*1.00050069618495</f>
        <v>9101.2887000093069</v>
      </c>
      <c r="T44" s="36">
        <f>5837.359*1.00032120944752</f>
        <v>5839.2340148593667</v>
      </c>
      <c r="U44">
        <f>86739.44*1.00480509986117</f>
        <v>87156.231671101967</v>
      </c>
      <c r="V44">
        <f>137795.7*1.00766609484431</f>
        <v>138852.0549053381</v>
      </c>
      <c r="W44">
        <f>12390.48*1.00068217385999</f>
        <v>12398.932461568729</v>
      </c>
      <c r="X44">
        <f>9184.234*1.0005055159528</f>
        <v>9188.8767768012494</v>
      </c>
      <c r="Y44">
        <f>5967.567*1.00032837786813</f>
        <v>5969.5266169293827</v>
      </c>
      <c r="Z44" s="36">
        <f>91769.65*1.00508588971294</f>
        <v>92236.380318895099</v>
      </c>
      <c r="AA44" s="36">
        <f>141339.4*1.00786558009513</f>
        <v>142451.1163712976</v>
      </c>
      <c r="AB44" s="36">
        <f>14387.36*1.00079224536788</f>
        <v>14398.758319316021</v>
      </c>
      <c r="AC44" s="36">
        <f>9841.525*1.00054172378062</f>
        <v>9846.8563881300652</v>
      </c>
      <c r="AD44" s="36">
        <f>6365.484*1.00035028559121</f>
        <v>6367.7137373262785</v>
      </c>
      <c r="AE44">
        <f>106676.9*1.00591940970622</f>
        <v>107308.36427728947</v>
      </c>
      <c r="AF44">
        <f>139733.2*1.00777514767995</f>
        <v>140819.64626579199</v>
      </c>
      <c r="AG44">
        <f>15177.98*1.00083583576212</f>
        <v>15190.666298480743</v>
      </c>
      <c r="AH44">
        <f>9643.609*1.00053082087708</f>
        <v>9648.7280289875962</v>
      </c>
      <c r="AI44">
        <f>6305.067*1.00034695917945</f>
        <v>6307.2546008726977</v>
      </c>
      <c r="AJ44" s="36">
        <f>95607.15*1.00530026027108</f>
        <v>96113.892778776193</v>
      </c>
      <c r="AK44" s="36">
        <f>140587.4*1.00782323788642</f>
        <v>141687.24867403327</v>
      </c>
      <c r="AL44" s="36">
        <f>13904.03*1.0007656000428</f>
        <v>13914.674925963094</v>
      </c>
      <c r="AM44" s="36">
        <f>9762.359*1.00053736259846</f>
        <v>9767.6049265993388</v>
      </c>
      <c r="AN44" s="36">
        <f>6520.692*1.00035883111497</f>
        <v>6523.0318271807364</v>
      </c>
      <c r="AO44">
        <f>94888.4*1.00526009897701</f>
        <v>95387.522375770102</v>
      </c>
      <c r="AP44">
        <f>139741.5*1.00777561492457</f>
        <v>140828.07609298179</v>
      </c>
      <c r="AQ44">
        <f>14215.48*1.0007827696135</f>
        <v>14226.607445785317</v>
      </c>
      <c r="AR44">
        <f>9590.484*1.00052789435906</f>
        <v>9595.5467624042558</v>
      </c>
      <c r="AS44">
        <f>6191.525*1.00034070792534</f>
        <v>6193.6345016374398</v>
      </c>
      <c r="AT44" s="36">
        <f>92384.23*1.00512021216472</f>
        <v>92857.256858274282</v>
      </c>
      <c r="AU44" s="36">
        <f>140298.8*1.00780698935806</f>
        <v>141394.11123854856</v>
      </c>
      <c r="AV44" s="36">
        <f>14526.94*1.00079994061948</f>
        <v>14538.56068938275</v>
      </c>
      <c r="AW44" s="36">
        <f>9649.859*1.00053116517501</f>
        <v>9654.9846690445574</v>
      </c>
      <c r="AX44" s="36">
        <f>6183.192*1.00034024914202</f>
        <v>6185.2958257729442</v>
      </c>
      <c r="AY44">
        <f>113189.4*1.00628420049531</f>
        <v>113900.70488354385</v>
      </c>
      <c r="AZ44">
        <f>146365.5*1.00814871776093</f>
        <v>147558.19114943742</v>
      </c>
      <c r="BA44">
        <f>16432.15*1.00090499541691</f>
        <v>16447.021020439981</v>
      </c>
      <c r="BB44">
        <f>9807.15*1.00053983008646</f>
        <v>9812.4441946324259</v>
      </c>
      <c r="BC44">
        <f>6249.859*1.00034391959146</f>
        <v>6252.0084489539631</v>
      </c>
      <c r="BD44" s="36">
        <f>95101.94*1.00527203035914</f>
        <v>95603.320314893121</v>
      </c>
      <c r="BE44" s="36">
        <f>146872.8*1.0081773090238</f>
        <v>148073.82427279075</v>
      </c>
      <c r="BF44" s="36">
        <f>13545.69*1.00074584662045</f>
        <v>13555.793007108163</v>
      </c>
      <c r="BG44" s="36">
        <f>9336.317*1.00051389331578</f>
        <v>9341.1148709003028</v>
      </c>
      <c r="BH44" s="36">
        <f>6171.734*1.00033961830909</f>
        <v>6173.8300338652334</v>
      </c>
      <c r="BI44">
        <f>96393.61*1.00534421049324</f>
        <v>96908.757742043279</v>
      </c>
      <c r="BJ44">
        <f>146412.4*1.00815136092737</f>
        <v>147605.86031664247</v>
      </c>
      <c r="BK44">
        <f>13420.69*1.00073895629516</f>
        <v>13430.607303360892</v>
      </c>
      <c r="BL44">
        <f>9456.109*1.00052049210461</f>
        <v>9461.0308300748329</v>
      </c>
      <c r="BM44">
        <f>6127.984*1.0003372096152</f>
        <v>6130.0504151265914</v>
      </c>
      <c r="BN44" s="36">
        <f>116359.2*1.00646189741361</f>
        <v>117111.10121352972</v>
      </c>
      <c r="BO44" s="36">
        <f>150339.4*1.00837275076178</f>
        <v>151598.15432587554</v>
      </c>
      <c r="BP44" s="36">
        <f>15944.65*1.00087811112804</f>
        <v>15958.651174597704</v>
      </c>
      <c r="BQ44" s="36">
        <f>9939.442*1.00054711801703</f>
        <v>9944.8800477974237</v>
      </c>
      <c r="BR44" s="36">
        <f>6576.942*1.00036192821115</f>
        <v>6579.3223808528974</v>
      </c>
    </row>
    <row r="45" spans="1:70" x14ac:dyDescent="0.15">
      <c r="A45">
        <f>103264.4*1.00572842076204</f>
        <v>103855.9419329396</v>
      </c>
      <c r="B45">
        <f>136734.2*1.00760636300595</f>
        <v>137774.24996052816</v>
      </c>
      <c r="C45">
        <f>14600.9*1.00080401821551</f>
        <v>14612.639389562841</v>
      </c>
      <c r="D45">
        <f>9502.984*1.00052307426774</f>
        <v>9507.9547663971462</v>
      </c>
      <c r="E45">
        <f>6210.275*1.00034174023142</f>
        <v>6212.3973008156818</v>
      </c>
      <c r="F45" s="36">
        <f>109465.5*1.00607556151519</f>
        <v>110130.56437904102</v>
      </c>
      <c r="G45" s="36">
        <f>143608.2*1.00799335986429</f>
        <v>144756.11202206294</v>
      </c>
      <c r="H45" s="36">
        <f>15507.15*1.00085398604702</f>
        <v>15520.392889729046</v>
      </c>
      <c r="I45" s="36">
        <f>9922.775*1.00054619982773</f>
        <v>9928.1948179956034</v>
      </c>
      <c r="J45" s="36">
        <f>6254.025*1.00034414895805</f>
        <v>6256.177316187368</v>
      </c>
      <c r="K45">
        <f>121095.7*1.00672759837804</f>
        <v>121910.38323490761</v>
      </c>
      <c r="L45">
        <f>141744.7*1.00788840318776</f>
        <v>142862.83934332809</v>
      </c>
      <c r="M45">
        <f>15088.4*1.00083089653241</f>
        <v>15100.936899239614</v>
      </c>
      <c r="N45">
        <f>9609.234*1.00052892724484</f>
        <v>9614.3165856646447</v>
      </c>
      <c r="O45">
        <f>6548.817*1.00036037965946</f>
        <v>6551.1770604403255</v>
      </c>
      <c r="P45" s="36">
        <f>82401.94*1.00456316671278</f>
        <v>82777.953789676496</v>
      </c>
      <c r="Q45" s="36">
        <f>138284.2*1.00769358688463</f>
        <v>139348.10150747155</v>
      </c>
      <c r="R45" s="36">
        <f>12026.94*1.0006621388097</f>
        <v>12034.903503735932</v>
      </c>
      <c r="S45" s="36">
        <f>9010.275*1.00049593382699</f>
        <v>9014.7435001629819</v>
      </c>
      <c r="T45" s="36">
        <f>5869.65*1.00032298716931</f>
        <v>5871.5458216383404</v>
      </c>
      <c r="U45">
        <f>86092.57*1.00476900822488</f>
        <v>86503.146174431051</v>
      </c>
      <c r="V45">
        <f>137653*1.00765806433002</f>
        <v>138707.15552922024</v>
      </c>
      <c r="W45">
        <f>12437.36*1.00068475755095</f>
        <v>12445.876576173885</v>
      </c>
      <c r="X45">
        <f>9111.317*1.00050149945639</f>
        <v>9115.886320522497</v>
      </c>
      <c r="Y45">
        <f>5846.734*1.00032172556997</f>
        <v>5848.6150438286131</v>
      </c>
      <c r="Z45" s="36">
        <f>93074.86*1.00515878598402</f>
        <v>93555.013283232634</v>
      </c>
      <c r="AA45" s="36">
        <f>140711.3*1.00783021384768</f>
        <v>141813.09956978503</v>
      </c>
      <c r="AB45" s="36">
        <f>14343.61*1.00078983340229</f>
        <v>14354.939062287422</v>
      </c>
      <c r="AC45" s="36">
        <f>9657.15*1.00053156681964</f>
        <v>9662.2834205122854</v>
      </c>
      <c r="AD45" s="36">
        <f>6440.484*1.00035441495334</f>
        <v>6442.7666038363477</v>
      </c>
      <c r="AE45">
        <f>108509.2*1.00602200386491</f>
        <v>109162.64282177828</v>
      </c>
      <c r="AF45">
        <f>140300.9*1.00780710758775</f>
        <v>141396.24422095815</v>
      </c>
      <c r="AG45">
        <f>15460.28*1.00085140159611</f>
        <v>15473.442907068309</v>
      </c>
      <c r="AH45">
        <f>9549.859*1.00052565645085</f>
        <v>9554.8789449880587</v>
      </c>
      <c r="AI45">
        <f>6396.734*1.00035200615255</f>
        <v>6398.9856897242253</v>
      </c>
      <c r="AJ45" s="36">
        <f>100911.3*1.00559678720658</f>
        <v>101476.07907283936</v>
      </c>
      <c r="AK45" s="36">
        <f>141121.7*1.00785332170077</f>
        <v>142229.97410905955</v>
      </c>
      <c r="AL45" s="36">
        <f>14352.98*1.00079034997494</f>
        <v>14364.323877383315</v>
      </c>
      <c r="AM45" s="36">
        <f>9786.317*1.00053868241663</f>
        <v>9791.5887168914669</v>
      </c>
      <c r="AN45" s="36">
        <f>6354.025*1.00034965468424</f>
        <v>6356.2467146050285</v>
      </c>
      <c r="AO45">
        <f>96498.82*1.00535009044549</f>
        <v>97015.097414883057</v>
      </c>
      <c r="AP45">
        <f>141116.5*1.00785302890124</f>
        <v>142224.69195294182</v>
      </c>
      <c r="AQ45">
        <f>13587.36*1.00074814361093</f>
        <v>13597.525296573407</v>
      </c>
      <c r="AR45">
        <f>9565.484*1.000526517183</f>
        <v>9570.5203916897117</v>
      </c>
      <c r="AS45">
        <f>6333.192*1.00034850766881</f>
        <v>6335.3991659800458</v>
      </c>
      <c r="AT45" s="36">
        <f>92808.19*1.00514389111342</f>
        <v>93285.585223793605</v>
      </c>
      <c r="AU45" s="36">
        <f>140686.3*1.00782880625704</f>
        <v>141787.70578571979</v>
      </c>
      <c r="AV45" s="36">
        <f>13826.94*1.00076135037286</f>
        <v>13837.467145924515</v>
      </c>
      <c r="AW45" s="36">
        <f>9631.109*1.0005301322823</f>
        <v>9636.2147617952505</v>
      </c>
      <c r="AX45" s="36">
        <f>6177.984*1.00033996240964</f>
        <v>6180.0842823273579</v>
      </c>
      <c r="AY45">
        <f>111149.9*1.00616991730317</f>
        <v>111835.68569125561</v>
      </c>
      <c r="AZ45">
        <f>147018.6*1.00818552671549</f>
        <v>148222.02467797394</v>
      </c>
      <c r="BA45">
        <f>15605.07*1.00085938550215</f>
        <v>15618.480770918035</v>
      </c>
      <c r="BB45">
        <f>9759.234*1.00053719044625</f>
        <v>9764.4765672675167</v>
      </c>
      <c r="BC45">
        <f>6386.317*1.00035143261277</f>
        <v>6388.5613600692877</v>
      </c>
      <c r="BD45" s="36">
        <f>98299.86*1.00545076258377</f>
        <v>98835.669198877833</v>
      </c>
      <c r="BE45" s="36">
        <f>148344.7*1.00826027863288</f>
        <v>149570.06855571101</v>
      </c>
      <c r="BF45" s="36">
        <f>13962.36*1.00076881558336</f>
        <v>13973.094479948484</v>
      </c>
      <c r="BG45" s="36">
        <f>9581.109*1.00052737791738</f>
        <v>9586.1618653106107</v>
      </c>
      <c r="BH45" s="36">
        <f>6201.942*1.00034128144668</f>
        <v>6204.0586077379858</v>
      </c>
      <c r="BI45">
        <f>98457.15*1.00545955600941</f>
        <v>98994.682324951864</v>
      </c>
      <c r="BJ45">
        <f>145506.1*1.00810028782071</f>
        <v>146684.74128966901</v>
      </c>
      <c r="BK45">
        <f>14080.07*1.00077530464193</f>
        <v>14090.9863436297</v>
      </c>
      <c r="BL45">
        <f>9577.984*1.00052720577032</f>
        <v>9583.0335684328329</v>
      </c>
      <c r="BM45">
        <f>6179.025*1.00034001972306</f>
        <v>6181.1259903692808</v>
      </c>
      <c r="BN45" s="36">
        <f>114863.4*1.00637803209016</f>
        <v>115596.00245118489</v>
      </c>
      <c r="BO45" s="36">
        <f>150139.4*1.00836147196252</f>
        <v>151394.78638356956</v>
      </c>
      <c r="BP45" s="36">
        <f>15707.15*1.00086501443896</f>
        <v>15720.736911544909</v>
      </c>
      <c r="BQ45" s="36">
        <f>9752.984*1.00053684614211</f>
        <v>9758.2198518344612</v>
      </c>
      <c r="BR45" s="36">
        <f>6452.984*1.00035510318533</f>
        <v>6455.2754751732837</v>
      </c>
    </row>
    <row r="46" spans="1:70" x14ac:dyDescent="0.15">
      <c r="A46">
        <f>102125.9*1.00566472605391</f>
        <v>102704.415246509</v>
      </c>
      <c r="B46">
        <f>138001.9*1.007677699193</f>
        <v>139061.43707626246</v>
      </c>
      <c r="C46">
        <f>14416.53*1.00079385353839</f>
        <v>14427.974613351806</v>
      </c>
      <c r="D46">
        <f>9544.65*1.00052536950391</f>
        <v>9549.6644680354948</v>
      </c>
      <c r="E46">
        <f>6047.775*1.0003327936849</f>
        <v>6049.7876613276958</v>
      </c>
      <c r="F46" s="36">
        <f>109912.4*1.00610059312023</f>
        <v>110582.93083126796</v>
      </c>
      <c r="G46" s="36">
        <f>144487.4*1.00804288987688</f>
        <v>145649.49624679671</v>
      </c>
      <c r="H46" s="36">
        <f>15818.61*1.00087116072003</f>
        <v>15832.390551677474</v>
      </c>
      <c r="I46" s="36">
        <f>9815.484*1.00054028919957</f>
        <v>9820.7871999937524</v>
      </c>
      <c r="J46" s="36">
        <f>6317.567*1.00034764739605</f>
        <v>6319.763285716921</v>
      </c>
      <c r="K46">
        <f>123125.9*1.00684155002554</f>
        <v>123968.27200428964</v>
      </c>
      <c r="L46">
        <f>142226.9*1.00791555866725</f>
        <v>143352.70537101108</v>
      </c>
      <c r="M46">
        <f>16035.28*1.00088310896016</f>
        <v>16049.440899446674</v>
      </c>
      <c r="N46">
        <f>9481.109*1.00052186925579</f>
        <v>9486.0568992978951</v>
      </c>
      <c r="O46">
        <f>6380.067*1.00035108850038</f>
        <v>6382.3069681553534</v>
      </c>
      <c r="P46" s="36">
        <f>80931.11*1.00448116781442</f>
        <v>81293.7758853173</v>
      </c>
      <c r="Q46" s="36">
        <f>138178*1.00768760991757</f>
        <v>139240.25856319</v>
      </c>
      <c r="R46" s="36">
        <f>12317.57*1.00067815562102</f>
        <v>12325.923229332808</v>
      </c>
      <c r="S46" s="36">
        <f>9113.4*1.00050161419387</f>
        <v>9117.9714107944146</v>
      </c>
      <c r="T46" s="36">
        <f>5782.15*1.00031817003922</f>
        <v>5783.9897068922764</v>
      </c>
      <c r="U46">
        <f>87340.48*1.0048386379375</f>
        <v>87763.088960007459</v>
      </c>
      <c r="V46">
        <f>138614.4*1.00771217131824</f>
        <v>139683.41799997503</v>
      </c>
      <c r="W46">
        <f>11825.9*1.00065105981257</f>
        <v>11833.59936823747</v>
      </c>
      <c r="X46">
        <f>8996.734*1.00049518796413</f>
        <v>9001.18907439328</v>
      </c>
      <c r="Y46">
        <f>5856.109*1.00032224169323</f>
        <v>5857.9960824799</v>
      </c>
      <c r="Z46" s="36">
        <f>92818.61*1.00514447311076</f>
        <v>93296.112843323121</v>
      </c>
      <c r="AA46" s="36">
        <f>141695.7*1.00788564383663</f>
        <v>142813.06182338198</v>
      </c>
      <c r="AB46" s="36">
        <f>13710.28*1.0007549194667</f>
        <v>13720.630157265909</v>
      </c>
      <c r="AC46" s="36">
        <f>9930.067*1.00054660154557</f>
        <v>9935.4947899698127</v>
      </c>
      <c r="AD46" s="36">
        <f>6417.567*1.00035315318002</f>
        <v>6419.8333841940421</v>
      </c>
      <c r="AE46">
        <f>107041.5*1.00593982188675</f>
        <v>107677.30744449054</v>
      </c>
      <c r="AF46">
        <f>140409.2*1.00781320491828</f>
        <v>141506.24585201178</v>
      </c>
      <c r="AG46">
        <f>14887.36*1.00081981192774</f>
        <v>14899.56483530056</v>
      </c>
      <c r="AH46">
        <f>9650.9*1.0005312225213</f>
        <v>9656.0267754308134</v>
      </c>
      <c r="AI46">
        <f>6335.275*1.00034862235365</f>
        <v>6337.4836184815194</v>
      </c>
      <c r="AJ46" s="36">
        <f>100549.9*1.00557657490165</f>
        <v>101110.62404870342</v>
      </c>
      <c r="AK46" s="36">
        <f>141491.5*1.00787414490774</f>
        <v>142605.62457421349</v>
      </c>
      <c r="AL46" s="36">
        <f>13492.57*1.00074291849042</f>
        <v>13502.593879736285</v>
      </c>
      <c r="AM46" s="36">
        <f>10058.19*1.00055365994796</f>
        <v>10063.758816951973</v>
      </c>
      <c r="AN46" s="36">
        <f>6188.4*1.00034053587464</f>
        <v>6190.5073722066218</v>
      </c>
      <c r="AO46">
        <f>94938.4*1.00526289265014</f>
        <v>95438.050607576035</v>
      </c>
      <c r="AP46">
        <f>140086.3*1.0077950258551</f>
        <v>141178.27633044528</v>
      </c>
      <c r="AQ46">
        <f>13666.53*1.00075250777104</f>
        <v>13676.814170028152</v>
      </c>
      <c r="AR46">
        <f>9594.65*1.00052812385224</f>
        <v>9599.7171635188952</v>
      </c>
      <c r="AS46">
        <f>6401.942*1.00035229289528</f>
        <v>6404.1973586825943</v>
      </c>
      <c r="AT46" s="36">
        <f>92282.15*1.00511451105864</f>
        <v>92754.12807669006</v>
      </c>
      <c r="AU46" s="36">
        <f>140265.5*1.00780511457855</f>
        <v>141360.28829891761</v>
      </c>
      <c r="AV46" s="36">
        <f>14526.94*1.00079994061948</f>
        <v>14538.56068938275</v>
      </c>
      <c r="AW46" s="36">
        <f>9513.4*1.00052364804775</f>
        <v>9518.3816733374642</v>
      </c>
      <c r="AX46" s="36">
        <f>6084.234*1.00033480093871</f>
        <v>6086.2710072545324</v>
      </c>
      <c r="AY46">
        <f>113054*1.00627661215976</f>
        <v>113763.59611110949</v>
      </c>
      <c r="AZ46">
        <f>147045.7*1.00818705416873</f>
        <v>148249.57111117881</v>
      </c>
      <c r="BA46">
        <f>15685.28*1.00086380846654</f>
        <v>15698.829077664052</v>
      </c>
      <c r="BB46">
        <f>9958.192*1.00054815096236</f>
        <v>9963.6505925281635</v>
      </c>
      <c r="BC46">
        <f>6370.692*1.00035057233247</f>
        <v>6372.9253883538877</v>
      </c>
      <c r="BD46" s="36">
        <f>97081.11*1.0053826352038</f>
        <v>97603.662200309976</v>
      </c>
      <c r="BE46" s="36">
        <f>149169.7*1.0083067920833</f>
        <v>150408.82168302825</v>
      </c>
      <c r="BF46" s="36">
        <f>14216.53*1.00078282749924</f>
        <v>14227.659090627772</v>
      </c>
      <c r="BG46" s="36">
        <f>9600.9*1.00052846814738</f>
        <v>9605.9737698361805</v>
      </c>
      <c r="BH46" s="36">
        <f>6082.15*1.00033468620356</f>
        <v>6084.1856116929821</v>
      </c>
      <c r="BI46">
        <f>100650.9*1.00558222348597</f>
        <v>101212.755817864</v>
      </c>
      <c r="BJ46">
        <f>148295.7*1.00825751621884</f>
        <v>149520.25414793426</v>
      </c>
      <c r="BK46">
        <f>14293.61*1.00078707689156</f>
        <v>14304.860170127973</v>
      </c>
      <c r="BL46">
        <f>9562.359*1.0005263450364</f>
        <v>9567.3921001959243</v>
      </c>
      <c r="BM46">
        <f>6198.817*1.00034110939568</f>
        <v>6200.9314747208009</v>
      </c>
      <c r="BN46" s="36">
        <f>112219.7*1.00622985858122</f>
        <v>112918.81286102692</v>
      </c>
      <c r="BO46" s="36">
        <f>149310.3*1.0083147197465</f>
        <v>150551.77329976583</v>
      </c>
      <c r="BP46" s="36">
        <f>16207.15*1.00089258701431</f>
        <v>16221.616291628972</v>
      </c>
      <c r="BQ46" s="36">
        <f>9929.025*1.00054654414154</f>
        <v>9934.451650444953</v>
      </c>
      <c r="BR46" s="36">
        <f>6596.734*1.00036301795537</f>
        <v>6599.1287328888002</v>
      </c>
    </row>
    <row r="47" spans="1:70" x14ac:dyDescent="0.15">
      <c r="A47">
        <f>103651.9*1.00575010266641</f>
        <v>104247.90906656845</v>
      </c>
      <c r="B47">
        <f>138021.7*1.00767881350175</f>
        <v>139081.54289349451</v>
      </c>
      <c r="C47">
        <f>14512.36*1.00079913679423</f>
        <v>14523.957360847111</v>
      </c>
      <c r="D47">
        <f>9522.775*1.00052416448367</f>
        <v>9527.766500440981</v>
      </c>
      <c r="E47">
        <f>6196.734*1.00034099471341</f>
        <v>6198.8470535344086</v>
      </c>
      <c r="F47" s="36">
        <f>110187.4*1.00611599725354</f>
        <v>110861.30583577472</v>
      </c>
      <c r="G47" s="36">
        <f>143862.4*1.0080076795503</f>
        <v>145014.40399853705</v>
      </c>
      <c r="H47" s="36">
        <f>15144.65*1.00083399801606</f>
        <v>15157.280608053925</v>
      </c>
      <c r="I47" s="36">
        <f>9780.067*1.00053833811095</f>
        <v>9785.3319827937448</v>
      </c>
      <c r="J47" s="36">
        <f>6194.65*1.00034087997613</f>
        <v>6196.7616321441328</v>
      </c>
      <c r="K47">
        <f>124567.6*1.00692249372531</f>
        <v>125429.91842937694</v>
      </c>
      <c r="L47">
        <f>142825.9*1.00794929489675</f>
        <v>143961.26519799369</v>
      </c>
      <c r="M47">
        <f>15680.07*1.00086352117334</f>
        <v>15693.610072444455</v>
      </c>
      <c r="N47">
        <f>9570.692*1.00052680407585</f>
        <v>9575.7338795543037</v>
      </c>
      <c r="O47">
        <f>6444.65*1.00035464432714</f>
        <v>6446.9355585629028</v>
      </c>
      <c r="P47" s="36">
        <f>83129.03*1.00460370947108</f>
        <v>83511.731902732688</v>
      </c>
      <c r="Q47" s="36">
        <f>138575.9*1.0077100043945</f>
        <v>139644.32079797177</v>
      </c>
      <c r="R47" s="36">
        <f>11391.53*1.00062712362406</f>
        <v>11398.67389757719</v>
      </c>
      <c r="S47" s="36">
        <f>8943.609*1.00049226175883</f>
        <v>8948.0115966966296</v>
      </c>
      <c r="T47" s="36">
        <f>5949.859*1.00032740296973</f>
        <v>5951.8070015060748</v>
      </c>
      <c r="U47">
        <f>85955.07*1.00476133701537</f>
        <v>86364.331056449737</v>
      </c>
      <c r="V47">
        <f>138910.3*1.00772882614273</f>
        <v>139983.91355813446</v>
      </c>
      <c r="W47">
        <f>12439.44*1.00068487218617</f>
        <v>12447.959426467532</v>
      </c>
      <c r="X47">
        <f>9158.192*1.00050408147244</f>
        <v>9162.8084749082464</v>
      </c>
      <c r="Y47">
        <f>5990.484*1.00032963954769</f>
        <v>5992.4587004362038</v>
      </c>
      <c r="Z47" s="36">
        <f>93125.9*1.00516163690224</f>
        <v>93606.582081994304</v>
      </c>
      <c r="AA47" s="36">
        <f>142571.7*1.0079349777048</f>
        <v>143703.00326083542</v>
      </c>
      <c r="AB47" s="36">
        <f>14014.44*1.00077168660823</f>
        <v>14025.254755669843</v>
      </c>
      <c r="AC47" s="36">
        <f>9958.192*1.00054815096236</f>
        <v>9963.6505925281635</v>
      </c>
      <c r="AD47" s="36">
        <f>6424.859*1.00035355466535</f>
        <v>6427.1305388736655</v>
      </c>
      <c r="AE47">
        <f>105781.1*1.00586926350772</f>
        <v>106401.95715003648</v>
      </c>
      <c r="AF47">
        <f>141089.4*1.00785150296938</f>
        <v>142197.16384304804</v>
      </c>
      <c r="AG47">
        <f>15283.19*1.00084163688653</f>
        <v>15296.052896447847</v>
      </c>
      <c r="AH47">
        <f>9690.484*1.00053340312019</f>
        <v>9695.6529344017526</v>
      </c>
      <c r="AI47">
        <f>6357.15*1.00034982673965</f>
        <v>6359.3739010579657</v>
      </c>
      <c r="AJ47" s="36">
        <f>98825.9*1.00548017218472</f>
        <v>99367.482948309917</v>
      </c>
      <c r="AK47" s="36">
        <f>141122.8*1.00785338363916</f>
        <v>142231.09148863246</v>
      </c>
      <c r="AL47" s="36">
        <f>14973.82*1.00082457896834</f>
        <v>14986.16709704771</v>
      </c>
      <c r="AM47" s="36">
        <f>9649.859*1.00053116517501</f>
        <v>9654.9846690445574</v>
      </c>
      <c r="AN47" s="36">
        <f>6370.692*1.00035057233247</f>
        <v>6372.9253883538877</v>
      </c>
      <c r="AO47">
        <f>97093.61*1.00538333387575</f>
        <v>97616.297319831865</v>
      </c>
      <c r="AP47">
        <f>141073.8*1.00785062457633</f>
        <v>142181.31744135625</v>
      </c>
      <c r="AQ47">
        <f>13593.61*1.0007484881333</f>
        <v>13603.784655773708</v>
      </c>
      <c r="AR47">
        <f>9585.275*1.00052760741019</f>
        <v>9590.332262118709</v>
      </c>
      <c r="AS47">
        <f>6232.15*1.00034294459256</f>
        <v>6234.2872821425226</v>
      </c>
      <c r="AT47" s="36">
        <f>93081.11*1.00515913508614</f>
        <v>93561.328020457848</v>
      </c>
      <c r="AU47" s="36">
        <f>140722.8*1.00783086134136</f>
        <v>141824.78073436793</v>
      </c>
      <c r="AV47" s="36">
        <f>13816.53*1.00076077651446</f>
        <v>13827.041291535332</v>
      </c>
      <c r="AW47" s="36">
        <f>9476.942*1.00052163971184</f>
        <v>9481.8855492940038</v>
      </c>
      <c r="AX47" s="36">
        <f>6320.692*1.00034781945043</f>
        <v>6322.8904596177772</v>
      </c>
      <c r="AY47">
        <f>113615.5*1.00630808189676</f>
        <v>114332.19587874133</v>
      </c>
      <c r="AZ47">
        <f>147896.7*1.00823502312322</f>
        <v>149114.63274434794</v>
      </c>
      <c r="BA47">
        <f>16062.36*1.00088460231347</f>
        <v>16076.56880081579</v>
      </c>
      <c r="BB47">
        <f>9865.484*1.00054304367114</f>
        <v>9870.8413886489325</v>
      </c>
      <c r="BC47">
        <f>6422.775*1.00035343992374</f>
        <v>6425.0450651061983</v>
      </c>
      <c r="BD47" s="36">
        <f>97629.03*1.00541326188044</f>
        <v>98157.521506523321</v>
      </c>
      <c r="BE47" s="36">
        <f>148247.8*1.00825481584018</f>
        <v>149471.55828771184</v>
      </c>
      <c r="BF47" s="36">
        <f>13879.03*1.00076422188473</f>
        <v>13889.636658464824</v>
      </c>
      <c r="BG47" s="36">
        <f>9640.484*1.00053064872825</f>
        <v>9645.5997105743136</v>
      </c>
      <c r="BH47" s="36">
        <f>6105.067*1.000335947907</f>
        <v>6107.1179844807448</v>
      </c>
      <c r="BI47">
        <f>97681.11*1.00541617310337</f>
        <v>98210.16780068932</v>
      </c>
      <c r="BJ47">
        <f>147423.8*1.00820836596734</f>
        <v>148633.90850269594</v>
      </c>
      <c r="BK47">
        <f>14427.98*1.00079448479017</f>
        <v>14439.442810662877</v>
      </c>
      <c r="BL47">
        <f>9512.359*1.00052359070276</f>
        <v>9517.3395827337172</v>
      </c>
      <c r="BM47">
        <f>6216.525*1.00034208433416</f>
        <v>6218.6515758154137</v>
      </c>
      <c r="BN47" s="36">
        <f>112637.4*1.0062532653759</f>
        <v>113341.7515534514</v>
      </c>
      <c r="BO47" s="36">
        <f>149403*1.00831994669385</f>
        <v>150646.02499590127</v>
      </c>
      <c r="BP47" s="36">
        <f>15891.53*1.00087518183655</f>
        <v>15905.43797841099</v>
      </c>
      <c r="BQ47" s="36">
        <f>10043.61*1.00055285671613</f>
        <v>10049.16267724269</v>
      </c>
      <c r="BR47" s="36">
        <f>6522.775*1.00035894580337</f>
        <v>6525.1163227125762</v>
      </c>
    </row>
    <row r="48" spans="1:70" x14ac:dyDescent="0.15">
      <c r="A48">
        <f>100885.3*1.00559533304316</f>
        <v>101449.7868526591</v>
      </c>
      <c r="B48">
        <f>136751.9*1.00760735891823</f>
        <v>137792.22078604987</v>
      </c>
      <c r="C48">
        <f>14217.57*1.0007828848337</f>
        <v>14228.700719925067</v>
      </c>
      <c r="D48">
        <f>9662.359*1.00053185377192</f>
        <v>9667.4979620797967</v>
      </c>
      <c r="E48">
        <f>6048.817*1.00033285105214</f>
        <v>6050.8303551026529</v>
      </c>
      <c r="F48" s="36">
        <f>111596.7*1.00619495036234</f>
        <v>112288.03601710094</v>
      </c>
      <c r="G48" s="36">
        <f>143725.9*1.00799999010706</f>
        <v>144875.70577812829</v>
      </c>
      <c r="H48" s="36">
        <f>15033.19*1.00082785241979</f>
        <v>15045.635262718662</v>
      </c>
      <c r="I48" s="36">
        <f>9931.109*1.00054665894961</f>
        <v>9936.5379296144019</v>
      </c>
      <c r="J48" s="36">
        <f>6286.317*1.00034592685721</f>
        <v>6288.491605883235</v>
      </c>
      <c r="K48">
        <f>126489.4*1.00703042288454</f>
        <v>127378.67397241172</v>
      </c>
      <c r="L48">
        <f>144357.2*1.00803555455665</f>
        <v>145517.19015624523</v>
      </c>
      <c r="M48">
        <f>16094.65*1.00088638298612</f>
        <v>16108.916023927557</v>
      </c>
      <c r="N48">
        <f>9554.025*1.00052588594249</f>
        <v>9559.0493274416967</v>
      </c>
      <c r="O48">
        <f>6420.692*1.00035332523724</f>
        <v>6422.9605925241458</v>
      </c>
      <c r="P48" s="36">
        <f>81796.73*1.00452942376858</f>
        <v>82167.222053054124</v>
      </c>
      <c r="Q48" s="36">
        <f>138154*1.00768625920531</f>
        <v>139215.88745425039</v>
      </c>
      <c r="R48" s="36">
        <f>11474.86*1.00063171543458</f>
        <v>11482.108846171646</v>
      </c>
      <c r="S48" s="36">
        <f>9116.525*1.00050178632772</f>
        <v>9121.0995476013159</v>
      </c>
      <c r="T48" s="36">
        <f>5832.15*1.00032092267646</f>
        <v>5834.0216691875157</v>
      </c>
      <c r="U48">
        <f>84475.9*1.00467882433883</f>
        <v>84871.147896964569</v>
      </c>
      <c r="V48">
        <f>137153*1.00762992809687</f>
        <v>138199.46752827</v>
      </c>
      <c r="W48">
        <f>12173.82*1.00067023336739</f>
        <v>12181.979300372599</v>
      </c>
      <c r="X48">
        <f>9160.275*1.00050419621081</f>
        <v>9164.8935759449778</v>
      </c>
      <c r="Y48">
        <f>5959.234*1.00032791910177</f>
        <v>5961.1881466605173</v>
      </c>
      <c r="Z48" s="36">
        <f>92905.07*1.00514930227556</f>
        <v>93383.466288362062</v>
      </c>
      <c r="AA48" s="36">
        <f>142109.2*1.00790893009443</f>
        <v>143233.13172857536</v>
      </c>
      <c r="AB48" s="36">
        <f>14290.48*1.00078690433474</f>
        <v>14301.725240657513</v>
      </c>
      <c r="AC48" s="36">
        <f>10027.98*1.00055199564053</f>
        <v>10033.515401243321</v>
      </c>
      <c r="AD48" s="36">
        <f>6294.65*1.00034638564835</f>
        <v>6296.830376421387</v>
      </c>
      <c r="AE48">
        <f>109613.4*1.00608384543054</f>
        <v>110280.27098271596</v>
      </c>
      <c r="AF48">
        <f>140382.2*1.0078116847978</f>
        <v>141478.82149762174</v>
      </c>
      <c r="AG48">
        <f>14685.28*1.00080867035255</f>
        <v>14697.155550554897</v>
      </c>
      <c r="AH48">
        <f>9781.109*1.00053839551357</f>
        <v>9786.3751052033404</v>
      </c>
      <c r="AI48">
        <f>6395.692*1.00035194878201</f>
        <v>6397.9429560095114</v>
      </c>
      <c r="AJ48" s="36">
        <f>99263.4*1.00550463370149</f>
        <v>99809.808656964466</v>
      </c>
      <c r="AK48" s="36">
        <f>141684.2*1.0078849962371</f>
        <v>142801.37938385652</v>
      </c>
      <c r="AL48" s="36">
        <f>14334.23*1.00078931627914</f>
        <v>14345.544241087935</v>
      </c>
      <c r="AM48" s="36">
        <f>9829.025*1.00054103516332</f>
        <v>9834.3428481461506</v>
      </c>
      <c r="AN48" s="36">
        <f>6324.859*1.00034804887475</f>
        <v>6327.0603600579034</v>
      </c>
      <c r="AO48">
        <f>96404.03*1.00534479283919</f>
        <v>96919.28956921307</v>
      </c>
      <c r="AP48">
        <f>140224.9*1.00780282882554</f>
        <v>141319.05089177846</v>
      </c>
      <c r="AQ48">
        <f>14426.94*1.00079442745371</f>
        <v>14438.401157209026</v>
      </c>
      <c r="AR48">
        <f>9590.484*1.00052789435906</f>
        <v>9595.5467624042558</v>
      </c>
      <c r="AS48">
        <f>6332.15*1.00034845029887</f>
        <v>6334.3564395599888</v>
      </c>
      <c r="AT48" s="36">
        <f>93859.23*1.0052026008673</f>
        <v>94347.542111402116</v>
      </c>
      <c r="AU48" s="36">
        <f>141514.4*1.00787543443497</f>
        <v>142628.88737880412</v>
      </c>
      <c r="AV48" s="36">
        <f>14155.07*1.00077943927063</f>
        <v>14166.103017436515</v>
      </c>
      <c r="AW48" s="36">
        <f>9532.15*1.00052468092038</f>
        <v>9537.1513372352001</v>
      </c>
      <c r="AX48" s="36">
        <f>6006.109*1.00033049977398</f>
        <v>6008.0940176669992</v>
      </c>
      <c r="AY48">
        <f>112617.6*1.00625215579972</f>
        <v>113321.70278099054</v>
      </c>
      <c r="AZ48">
        <f>146323.8*1.00814636767096</f>
        <v>147515.80747381202</v>
      </c>
      <c r="BA48">
        <f>15949.86*1.0008783984338</f>
        <v>15963.870332043332</v>
      </c>
      <c r="BB48">
        <f>9835.275*1.00054137947179</f>
        <v>9840.5996159844071</v>
      </c>
      <c r="BC48">
        <f>6390.484*1.00035166203957</f>
        <v>6392.7312906372799</v>
      </c>
      <c r="BD48" s="36">
        <f>97302.98*1.00539503656836</f>
        <v>97827.933135310392</v>
      </c>
      <c r="BE48" s="36">
        <f>147938.4*1.00823737383478</f>
        <v>149157.02390531922</v>
      </c>
      <c r="BF48" s="36">
        <f>13741.53*1.00075664211713</f>
        <v>13751.927420351805</v>
      </c>
      <c r="BG48" s="36">
        <f>9609.234*1.00052892724484</f>
        <v>9614.3165856646447</v>
      </c>
      <c r="BH48" s="36">
        <f>6080.067*1.00033457152351</f>
        <v>6082.1012172792325</v>
      </c>
      <c r="BI48">
        <f>98697.78*1.0054730090729</f>
        <v>99237.95384541509</v>
      </c>
      <c r="BJ48">
        <f>147368.6*1.00820525450683</f>
        <v>148577.79686931524</v>
      </c>
      <c r="BK48">
        <f>14317.57*1.00078839780866</f>
        <v>14328.857940813336</v>
      </c>
      <c r="BL48">
        <f>9505.067*1.00052318901264</f>
        <v>9510.0399466188064</v>
      </c>
      <c r="BM48">
        <f>6335.275*1.00034862235365</f>
        <v>6337.4836184815194</v>
      </c>
      <c r="BN48" s="36">
        <f>113949.9*1.00632682502994</f>
        <v>114670.84107947916</v>
      </c>
      <c r="BO48" s="36">
        <f>150414.4*1.00837698040932</f>
        <v>151674.41848207961</v>
      </c>
      <c r="BP48" s="36">
        <f>15179.03*1.00083589365707</f>
        <v>15191.718054897476</v>
      </c>
      <c r="BQ48" s="36">
        <f>10125.9*1.00055739020839</f>
        <v>10131.544077511135</v>
      </c>
      <c r="BR48" s="36">
        <f>6629.025*1.00036479590009</f>
        <v>6631.4432411415946</v>
      </c>
    </row>
    <row r="49" spans="1:70" x14ac:dyDescent="0.15">
      <c r="A49">
        <f>105416.5*1.00584885562992</f>
        <v>106033.06588951148</v>
      </c>
      <c r="B49">
        <f>137500.9*1.00764950503788</f>
        <v>138552.71382726301</v>
      </c>
      <c r="C49">
        <f>14198.82*1.00078185116104</f>
        <v>14209.921363902398</v>
      </c>
      <c r="D49">
        <f>9467.567*1.00052112327983</f>
        <v>9472.5007695670483</v>
      </c>
      <c r="E49">
        <f>6287.359*1.00034598422671</f>
        <v>6289.5343270416633</v>
      </c>
      <c r="F49" s="36">
        <f>110026.9*1.00610700675506</f>
        <v>110698.8350215383</v>
      </c>
      <c r="G49" s="36">
        <f>143416.5*1.00798256135542</f>
        <v>144561.3310106296</v>
      </c>
      <c r="H49" s="36">
        <f>14693.61*1.0008091296154</f>
        <v>14705.499035008139</v>
      </c>
      <c r="I49" s="36">
        <f>9776.942*1.00053816595824</f>
        <v>9782.2036173600864</v>
      </c>
      <c r="J49" s="36">
        <f>6277.984*1.0003454680667</f>
        <v>6280.152842995255</v>
      </c>
      <c r="K49">
        <f>123428*1.00685850969542</f>
        <v>124274.53213468629</v>
      </c>
      <c r="L49">
        <f>143429*1.00798326547294</f>
        <v>144574.03178351829</v>
      </c>
      <c r="M49">
        <f>15872.78*1.0008741478778</f>
        <v>15886.655156951787</v>
      </c>
      <c r="N49">
        <f>9738.4*1.00053604273042</f>
        <v>9743.6201985259213</v>
      </c>
      <c r="O49">
        <f>6294.65*1.00034638564835</f>
        <v>6296.830376421387</v>
      </c>
      <c r="P49" s="36">
        <f>82414.44*1.00456386367503</f>
        <v>82790.568269013951</v>
      </c>
      <c r="Q49" s="36">
        <f>139717.6*1.007774269487</f>
        <v>140803.80227447688</v>
      </c>
      <c r="R49" s="36">
        <f>11388.4*1.00062695114999</f>
        <v>11395.539970476544</v>
      </c>
      <c r="S49" s="36">
        <f>9159.234*1.00050413886916</f>
        <v>9163.8515258711323</v>
      </c>
      <c r="T49" s="36">
        <f>5957.15*1.00032780436899</f>
        <v>5959.102779796729</v>
      </c>
      <c r="U49">
        <f>85960.28*1.00476162768127</f>
        <v>86369.590848737731</v>
      </c>
      <c r="V49">
        <f>138558.2*1.00770900817711</f>
        <v>139626.34629680566</v>
      </c>
      <c r="W49">
        <f>12934.23*1.00071214270901</f>
        <v>12943.441017591158</v>
      </c>
      <c r="X49">
        <f>9175.9*1.00050505688757</f>
        <v>9180.5343514946526</v>
      </c>
      <c r="Y49">
        <f>5969.65*1.00032849254606</f>
        <v>5971.6109855275872</v>
      </c>
      <c r="Z49" s="36">
        <f>92731.11*1.00513958592845</f>
        <v>93207.709508085551</v>
      </c>
      <c r="AA49" s="36">
        <f>142089.4*1.0079078150203</f>
        <v>143213.0166915454</v>
      </c>
      <c r="AB49" s="36">
        <f>13992.57*1.00077048097323</f>
        <v>14003.351008951589</v>
      </c>
      <c r="AC49" s="36">
        <f>9764.442*1.00053747734828</f>
        <v>9769.6901663935932</v>
      </c>
      <c r="AD49" s="36">
        <f>6455.067*1.00035521787245</f>
        <v>6457.3599551662619</v>
      </c>
      <c r="AE49">
        <f>108710.3*1.00603326577333</f>
        <v>109366.17813219843</v>
      </c>
      <c r="AF49">
        <f>141109.2*1.00785261785618</f>
        <v>142217.27662359129</v>
      </c>
      <c r="AG49">
        <f>15104.03*1.00083175832844</f>
        <v>15116.592902745509</v>
      </c>
      <c r="AH49">
        <f>9849.859*1.00054218289633</f>
        <v>9855.1994250810621</v>
      </c>
      <c r="AI49">
        <f>6211.317*1.00034179760021</f>
        <v>6213.4400132447436</v>
      </c>
      <c r="AJ49" s="36">
        <f>101019.7*1.00560285001753</f>
        <v>101585.69822791587</v>
      </c>
      <c r="AK49" s="36">
        <f>142658.2*1.00793984953664</f>
        <v>143790.88464316793</v>
      </c>
      <c r="AL49" s="36">
        <f>14166.53*1.00078007104641</f>
        <v>14177.580899881101</v>
      </c>
      <c r="AM49" s="36">
        <f>9864.442*1.00054298626772</f>
        <v>9869.7982565447201</v>
      </c>
      <c r="AN49" s="36">
        <f>6308.192*1.00034713123347</f>
        <v>6310.381770469925</v>
      </c>
      <c r="AO49">
        <f>94097.78*1.00521592740088</f>
        <v>94588.587189063983</v>
      </c>
      <c r="AP49">
        <f>140456.1*1.00781584544026</f>
        <v>141553.88316874171</v>
      </c>
      <c r="AQ49">
        <f>13588.4*1.00074820093942</f>
        <v>13598.566853645214</v>
      </c>
      <c r="AR49">
        <f>9413.4*1.00051813944778</f>
        <v>9418.2774538777321</v>
      </c>
      <c r="AS49">
        <f>6165.484*1.0003392742089</f>
        <v>6167.5757897065851</v>
      </c>
      <c r="AT49" s="36">
        <f>92555.07*1.00512975369249</f>
        <v>93029.854712091168</v>
      </c>
      <c r="AU49" s="36">
        <f>140720.7*1.00783074310329</f>
        <v>141822.64765101517</v>
      </c>
      <c r="AV49" s="36">
        <f>13961.32*1.00076875825132</f>
        <v>13972.052879949319</v>
      </c>
      <c r="AW49" s="36">
        <f>9645.692*1.00053093562465</f>
        <v>9650.8132415071996</v>
      </c>
      <c r="AX49" s="36">
        <f>6184.234*1.00034030651054</f>
        <v>6186.3385350929038</v>
      </c>
      <c r="AY49">
        <f>112778*1.00626114459333</f>
        <v>113484.11936494657</v>
      </c>
      <c r="AZ49">
        <f>147442.6*1.00820942567425</f>
        <v>148653.01906591817</v>
      </c>
      <c r="BA49">
        <f>15633.19*1.00086093609713</f>
        <v>15646.649177584291</v>
      </c>
      <c r="BB49">
        <f>9970.692*1.00054883959435</f>
        <v>9976.1643105526691</v>
      </c>
      <c r="BC49">
        <f>6471.734*1.00035613553599</f>
        <v>6474.0388144568751</v>
      </c>
      <c r="BD49" s="36">
        <f>96959.23*1.00537582294927</f>
        <v>97480.465653777545</v>
      </c>
      <c r="BE49" s="36">
        <f>148328*1.00825933715452</f>
        <v>149553.09096145566</v>
      </c>
      <c r="BF49" s="36">
        <f>13601.94*1.00074894731327</f>
        <v>13612.127136418261</v>
      </c>
      <c r="BG49" s="36">
        <f>9377.984*1.00051618854384</f>
        <v>9382.8248079051154</v>
      </c>
      <c r="BH49" s="36">
        <f>6207.15*1.00034156818019</f>
        <v>6209.270164929666</v>
      </c>
      <c r="BI49">
        <f>95932.15*1.00531842174361</f>
        <v>96442.357632471249</v>
      </c>
      <c r="BJ49">
        <f>147039.4*1.0081866990775</f>
        <v>148243.16732033613</v>
      </c>
      <c r="BK49">
        <f>14429.03*1.00079454267795</f>
        <v>14440.494480136424</v>
      </c>
      <c r="BL49">
        <f>9519.65*1.00052399233827</f>
        <v>9524.6382236630125</v>
      </c>
      <c r="BM49">
        <f>6214.442*1.00034196965156</f>
        <v>6216.56715056538</v>
      </c>
      <c r="BN49" s="36">
        <f>113594.7*1.0063069160906</f>
        <v>114311.13224123688</v>
      </c>
      <c r="BO49" s="36">
        <f>149016.5*1.00829815418858</f>
        <v>150253.06189364253</v>
      </c>
      <c r="BP49" s="36">
        <f>16607.15*1.00091464671586</f>
        <v>16622.339675207299</v>
      </c>
      <c r="BQ49" s="36">
        <f>9888.4*1.00054430610816</f>
        <v>9893.7823165199297</v>
      </c>
      <c r="BR49" s="36">
        <f>6585.275*1.0003623870243</f>
        <v>6587.6614182114463</v>
      </c>
    </row>
    <row r="50" spans="1:70" x14ac:dyDescent="0.15">
      <c r="A50">
        <f>101742.6*1.00564328461678</f>
        <v>102316.7624494512</v>
      </c>
      <c r="B50">
        <f>137975.9*1.00767623596491</f>
        <v>139035.03556587084</v>
      </c>
      <c r="C50">
        <f>14565.48*1.0008020654179</f>
        <v>14577.162467803113</v>
      </c>
      <c r="D50">
        <f>9521.734*1.00052410713858</f>
        <v>9526.7244087610597</v>
      </c>
      <c r="E50">
        <f>6095.692*1.00033543176252</f>
        <v>6097.7366887113385</v>
      </c>
    </row>
    <row r="51" spans="1:70" x14ac:dyDescent="0.15">
      <c r="A51">
        <f>102755.1*1.00569992588188</f>
        <v>103340.79645398517</v>
      </c>
      <c r="B51">
        <f>137491.5*1.00764897606842</f>
        <v>138543.16919311116</v>
      </c>
      <c r="C51">
        <f>14681.11*1.0008084404457</f>
        <v>14692.978803111771</v>
      </c>
      <c r="D51">
        <f>9577.984*1.00052720577032</f>
        <v>9583.0335684328329</v>
      </c>
      <c r="E51">
        <f>6154.025*1.00033864332277</f>
        <v>6156.1090194744083</v>
      </c>
    </row>
    <row r="52" spans="1:70" x14ac:dyDescent="0.15">
      <c r="A52">
        <f>104211.3*1.00578140542129</f>
        <v>104813.78777477967</v>
      </c>
      <c r="B52">
        <f>138315.5*1.00769534847812</f>
        <v>139379.8859724254</v>
      </c>
      <c r="C52">
        <f>13837.36*1.00076192478351</f>
        <v>13847.90302752235</v>
      </c>
      <c r="D52">
        <f>9588.4*1.00052777955745</f>
        <v>9593.4605615086548</v>
      </c>
      <c r="E52">
        <f>6174.859*1.00033979035932</f>
        <v>6176.9571575583614</v>
      </c>
    </row>
    <row r="53" spans="1:70" x14ac:dyDescent="0.15">
      <c r="A53">
        <f>101780.1*1.00564538227045</f>
        <v>102354.68757202465</v>
      </c>
      <c r="B53">
        <f>137924.9*1.0076733658053</f>
        <v>138983.24821135943</v>
      </c>
      <c r="C53">
        <f>15134.23*1.00083342348127</f>
        <v>15146.843222652938</v>
      </c>
      <c r="D53">
        <f>9458.192*1.00052060684863</f>
        <v>9463.1159995308572</v>
      </c>
      <c r="E53">
        <f>6000.9*1.00033021299493</f>
        <v>6002.8815751612756</v>
      </c>
    </row>
    <row r="54" spans="1:70" x14ac:dyDescent="0.15">
      <c r="A54">
        <f>101295.7*1.00561828719081</f>
        <v>101864.80833379412</v>
      </c>
      <c r="B54">
        <f>138665.5*1.00771504743867</f>
        <v>139735.3109106069</v>
      </c>
      <c r="C54">
        <f>13842.57*1.0007622119892</f>
        <v>13853.120972815339</v>
      </c>
      <c r="D54">
        <f>9382.15*1.00051641802896</f>
        <v>9386.9951114104078</v>
      </c>
      <c r="E54">
        <f>6265.484*1.0003447798546</f>
        <v>6267.6442126625188</v>
      </c>
    </row>
    <row r="55" spans="1:70" x14ac:dyDescent="0.15">
      <c r="A55">
        <f>104358.2*1.00578962609743</f>
        <v>104962.39495820081</v>
      </c>
      <c r="B55">
        <f>138248.8*1.00769159455043</f>
        <v>139312.15371668345</v>
      </c>
      <c r="C55">
        <f>13933.19*1.00076720753357</f>
        <v>13943.879648334663</v>
      </c>
      <c r="D55">
        <f>9542.567*1.00052525475825</f>
        <v>9547.5792787226674</v>
      </c>
      <c r="E55">
        <f>6075.9*1.00033434210846</f>
        <v>6077.9314292167919</v>
      </c>
    </row>
    <row r="56" spans="1:70" x14ac:dyDescent="0.15">
      <c r="A56">
        <f>104933.2*1.00582180563526</f>
        <v>105544.10069508586</v>
      </c>
      <c r="B56">
        <f>138870.7*1.00772659719631</f>
        <v>139943.69796126962</v>
      </c>
      <c r="C56">
        <f>14649.86*1.0008067175277</f>
        <v>14661.678298840352</v>
      </c>
      <c r="D56">
        <f>9691.525*1.00053346046687</f>
        <v>9696.6950454511825</v>
      </c>
      <c r="E56">
        <f>6189.442*1.00034059324322</f>
        <v>6191.5500821245032</v>
      </c>
    </row>
    <row r="57" spans="1:70" x14ac:dyDescent="0.15">
      <c r="A57">
        <f>105479*1.00585235387496</f>
        <v>106096.3004343769</v>
      </c>
      <c r="B57">
        <f>139647.8*1.00777034016469</f>
        <v>140732.91090925058</v>
      </c>
      <c r="C57">
        <f>14140.48*1.00077863494351</f>
        <v>14151.490271846003</v>
      </c>
      <c r="D57">
        <f>9401.942*1.00051750827821</f>
        <v>9406.8075828162491</v>
      </c>
      <c r="E57">
        <f>6286.317*1.00034592685721</f>
        <v>6288.491605883235</v>
      </c>
    </row>
    <row r="58" spans="1:70" x14ac:dyDescent="0.15">
      <c r="A58">
        <f>105321.7*1.00584354956164</f>
        <v>105937.15257386617</v>
      </c>
      <c r="B58">
        <f>139862.4*1.00778242100743</f>
        <v>140950.86807990956</v>
      </c>
      <c r="C58">
        <f>13891.53*1.00076491096305</f>
        <v>13902.155783590541</v>
      </c>
      <c r="D58">
        <f>9725.9*1.00053535412485</f>
        <v>9731.1068006828791</v>
      </c>
      <c r="E58">
        <f>6286.317*1.00034592685721</f>
        <v>6288.491605883235</v>
      </c>
    </row>
    <row r="59" spans="1:70" x14ac:dyDescent="0.15">
      <c r="A59">
        <f>104716.5*1.00580967778351</f>
        <v>105324.86912361693</v>
      </c>
      <c r="B59">
        <f>139454*1.00775943062594</f>
        <v>140536.08363850985</v>
      </c>
      <c r="C59">
        <f>14837.36*1.00081705516922</f>
        <v>14849.482941685577</v>
      </c>
      <c r="D59">
        <f>9622.775*1.00052967318317</f>
        <v>9627.8719258651799</v>
      </c>
      <c r="E59">
        <f>6282.15*1.00034569743435</f>
        <v>6284.3217231372018</v>
      </c>
    </row>
    <row r="60" spans="1:70" x14ac:dyDescent="0.15">
      <c r="A60">
        <f>104222.8*1.00578204896591</f>
        <v>104825.42133296424</v>
      </c>
      <c r="B60">
        <f>139413.4*1.00775714518448</f>
        <v>140494.84998446197</v>
      </c>
      <c r="C60">
        <f>14177.98*1.0007807022721</f>
        <v>14189.048781199788</v>
      </c>
      <c r="D60">
        <f>9693.609*1.00053357527044</f>
        <v>9698.7812700437153</v>
      </c>
      <c r="E60">
        <f>6297.775*1.00034655770207</f>
        <v>6299.9575424321538</v>
      </c>
    </row>
    <row r="61" spans="1:70" x14ac:dyDescent="0.15">
      <c r="A61">
        <f>105031.1*1.00582728485963</f>
        <v>105643.14613882029</v>
      </c>
      <c r="B61">
        <f>140176.9*1.00780012647755</f>
        <v>141270.29754923086</v>
      </c>
      <c r="C61">
        <f>14525.9*1.00079988328209</f>
        <v>14537.519024567309</v>
      </c>
      <c r="D61">
        <f>9789.442*1.00053885456961</f>
        <v>9794.7170855556305</v>
      </c>
      <c r="E61">
        <f>6244.65*1.00034363280088</f>
        <v>6246.7958665700144</v>
      </c>
    </row>
    <row r="62" spans="1:70" x14ac:dyDescent="0.15">
      <c r="A62">
        <f>106751.9*1.00592360848971</f>
        <v>107384.25646113268</v>
      </c>
      <c r="B62">
        <f>140513.4*1.007819071522</f>
        <v>141612.08432439939</v>
      </c>
      <c r="C62">
        <f>14766.53*1.0008131499841</f>
        <v>14778.537403634713</v>
      </c>
      <c r="D62">
        <f>9973.817*1.00054901175258</f>
        <v>9979.2927427510804</v>
      </c>
      <c r="E62">
        <f>6206.109*1.0003415108665</f>
        <v>6208.2284536621837</v>
      </c>
    </row>
    <row r="63" spans="1:70" x14ac:dyDescent="0.15">
      <c r="A63">
        <f>105940.5*1.00587818604823</f>
        <v>106563.23796904252</v>
      </c>
      <c r="B63">
        <f>141488.4*1.0078739703433</f>
        <v>142602.47546552095</v>
      </c>
      <c r="C63">
        <f>14460.28*1.00079626553305</f>
        <v>14471.794222562254</v>
      </c>
      <c r="D63">
        <f>9793.609*1.00053908412542</f>
        <v>9798.8885791424709</v>
      </c>
      <c r="E63">
        <f>6234.234*1.00034305933055</f>
        <v>6236.3727121425327</v>
      </c>
    </row>
    <row r="64" spans="1:70" x14ac:dyDescent="0.15">
      <c r="A64">
        <f>106395.7*1.00590366753631</f>
        <v>107023.82484009297</v>
      </c>
      <c r="B64">
        <f>140897.8*1.00784071466042</f>
        <v>142002.53944608092</v>
      </c>
      <c r="C64">
        <f>15104.03*1.00083175832844</f>
        <v>15116.592902745509</v>
      </c>
      <c r="D64">
        <f>9997.775*1.00055033161686</f>
        <v>10003.277091680753</v>
      </c>
      <c r="E64">
        <f>6201.942*1.00034128144668</f>
        <v>6204.0586077379858</v>
      </c>
    </row>
    <row r="65" spans="1:5" x14ac:dyDescent="0.15">
      <c r="A65">
        <f>105946.7*1.00587853310292</f>
        <v>106569.51118309514</v>
      </c>
      <c r="B65">
        <f>140665.5*1.00782763514614</f>
        <v>141766.57821164935</v>
      </c>
      <c r="C65">
        <f>15506.11*1.00085392870034</f>
        <v>15519.351112359629</v>
      </c>
      <c r="D65">
        <f>10025.9*1.00055188105098</f>
        <v>10031.43310422902</v>
      </c>
      <c r="E65">
        <f>6347.775*1.00034931057369</f>
        <v>6349.9923449269045</v>
      </c>
    </row>
    <row r="66" spans="1:5" x14ac:dyDescent="0.15">
      <c r="A66">
        <f>106167.6*1.00589089856043</f>
        <v>106793.02256200432</v>
      </c>
      <c r="B66">
        <f>141080.1*1.00785097931171</f>
        <v>142187.71694639401</v>
      </c>
      <c r="C66">
        <f>14606.11*1.00080430545745</f>
        <v>14617.857773985115</v>
      </c>
      <c r="D66">
        <f>9839.442*1.00054160902933</f>
        <v>9844.7711306307683</v>
      </c>
      <c r="E66">
        <f>6040.484*1.00033239227963</f>
        <v>6042.4918102468282</v>
      </c>
    </row>
    <row r="67" spans="1:5" x14ac:dyDescent="0.15">
      <c r="A67">
        <f>106073.8*1.00588564780333</f>
        <v>106698.11302796086</v>
      </c>
      <c r="B67">
        <f>139653*1.00777063289199</f>
        <v>140738.19219526509</v>
      </c>
      <c r="C67">
        <f>14741.53*1.00081177162952</f>
        <v>14753.496755829718</v>
      </c>
      <c r="D67">
        <f>9708.192*1.00053437862109</f>
        <v>9713.3798502542359</v>
      </c>
      <c r="E67">
        <f>6444.65*1.00035464432714</f>
        <v>6446.9355585629028</v>
      </c>
    </row>
    <row r="68" spans="1:5" x14ac:dyDescent="0.15">
      <c r="A68">
        <f>104342.6*1.00578875309569</f>
        <v>104946.61354876234</v>
      </c>
      <c r="B68">
        <f>139934.2*1.00778646306416</f>
        <v>141023.79247971278</v>
      </c>
      <c r="C68">
        <f>14633.19*1.00080579845796</f>
        <v>14644.981401937035</v>
      </c>
      <c r="D68">
        <f>9647.775*1.00053105037227</f>
        <v>9652.8984545053263</v>
      </c>
      <c r="E68">
        <f>6394.65*1.00035189141148</f>
        <v>6396.9002224144197</v>
      </c>
    </row>
    <row r="69" spans="1:5" x14ac:dyDescent="0.15">
      <c r="A69">
        <f>107884.2*1.00598700532505</f>
        <v>108530.10327988875</v>
      </c>
      <c r="B69">
        <f>140842.6*1.00783760661079</f>
        <v>141946.46889284084</v>
      </c>
      <c r="C69">
        <f>14711.32*1.00081010603345</f>
        <v>14723.237729092014</v>
      </c>
      <c r="D69">
        <f>9776.942*1.00053816595824</f>
        <v>9782.2036173600864</v>
      </c>
      <c r="E69">
        <f>6440.484*1.00035441495334</f>
        <v>6442.7666038363477</v>
      </c>
    </row>
    <row r="70" spans="1:5" x14ac:dyDescent="0.15">
      <c r="A70">
        <f>106541.5*1.00591182963582</f>
        <v>107171.35519714472</v>
      </c>
      <c r="B70">
        <f>141354*1.00786640221755</f>
        <v>142465.94741905958</v>
      </c>
      <c r="C70">
        <f>14693.61*1.0008091296154</f>
        <v>14705.499035008139</v>
      </c>
      <c r="D70">
        <f>9917.567*1.0005459129182</f>
        <v>9922.9811279424121</v>
      </c>
      <c r="E70">
        <f>6416.525*1.00035309580928</f>
        <v>6418.7906480876391</v>
      </c>
    </row>
  </sheetData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3"/>
  <dimension ref="A1:EZ64"/>
  <sheetViews>
    <sheetView showGridLines="0" zoomScale="150" workbookViewId="0">
      <selection activeCell="A18" sqref="A18"/>
    </sheetView>
  </sheetViews>
  <sheetFormatPr baseColWidth="10" defaultColWidth="8.83203125" defaultRowHeight="13" x14ac:dyDescent="0.15"/>
  <cols>
    <col min="1" max="1" width="11.1640625" style="40" customWidth="1"/>
    <col min="2" max="2" width="7.33203125" style="12" customWidth="1"/>
    <col min="3" max="4" width="8.83203125" style="12" customWidth="1"/>
    <col min="5" max="5" width="11" style="12" customWidth="1"/>
    <col min="6" max="6" width="8.83203125" style="12" customWidth="1"/>
    <col min="7" max="7" width="9.5" style="12" customWidth="1"/>
    <col min="8" max="8" width="6.6640625" style="12" customWidth="1"/>
    <col min="9" max="15" width="8.83203125" style="12" customWidth="1"/>
    <col min="16" max="16" width="17.33203125" style="12" customWidth="1"/>
    <col min="17" max="28" width="8.83203125" style="12" customWidth="1"/>
    <col min="29" max="29" width="15.33203125" style="12" customWidth="1"/>
    <col min="30" max="16384" width="8.83203125" style="12"/>
  </cols>
  <sheetData>
    <row r="1" spans="1:156" s="35" customFormat="1" x14ac:dyDescent="0.15">
      <c r="A1" s="39" t="str">
        <f>Results!A1</f>
        <v>File</v>
      </c>
      <c r="B1" s="35" t="str">
        <f>Results!B1</f>
        <v>Description</v>
      </c>
      <c r="C1" s="35" t="str">
        <f>Results!C1</f>
        <v>23Na/28Si</v>
      </c>
      <c r="D1" s="35" t="str">
        <f>Results!D1</f>
        <v>smean</v>
      </c>
      <c r="E1" s="35" t="str">
        <f>Results!E1</f>
        <v>28Si/28Si</v>
      </c>
      <c r="F1" s="35" t="str">
        <f>Results!F1</f>
        <v>smean</v>
      </c>
      <c r="G1" s="35" t="str">
        <f>Results!I1</f>
        <v>52Cr/28Si</v>
      </c>
      <c r="H1" s="35" t="str">
        <f>Results!J1</f>
        <v>smean</v>
      </c>
      <c r="I1" s="35" t="str">
        <f>Results!K1</f>
        <v>55Mn/28Si</v>
      </c>
      <c r="J1" s="35" t="str">
        <f>Results!L1</f>
        <v>smean</v>
      </c>
      <c r="K1" s="35" t="str">
        <f>Results!M1</f>
        <v>23Na</v>
      </c>
      <c r="L1" s="35" t="str">
        <f>Results!N1</f>
        <v>smean</v>
      </c>
      <c r="M1" s="35" t="str">
        <f>Results!O1</f>
        <v>28Si</v>
      </c>
      <c r="N1" s="35" t="str">
        <f>Results!P1</f>
        <v>smean</v>
      </c>
      <c r="O1" s="35" t="str">
        <f>Results!Q1</f>
        <v>39K</v>
      </c>
      <c r="P1" s="35" t="str">
        <f>Results!R1</f>
        <v>smean</v>
      </c>
      <c r="Q1" s="35" t="str">
        <f>Results!S1</f>
        <v>52Cr</v>
      </c>
      <c r="R1" s="35" t="str">
        <f>Results!T1</f>
        <v>smean</v>
      </c>
      <c r="S1" s="35" t="str">
        <f>Results!U1</f>
        <v>55Mn</v>
      </c>
      <c r="T1" s="35" t="str">
        <f>Results!V1</f>
        <v>smean</v>
      </c>
      <c r="U1" s="35" t="str">
        <f>Results!W1</f>
        <v>23Na</v>
      </c>
      <c r="V1" s="35" t="str">
        <f>Results!X1</f>
        <v>smean</v>
      </c>
      <c r="W1" s="35" t="str">
        <f>Results!Y1</f>
        <v>d28Si</v>
      </c>
      <c r="X1" s="35" t="str">
        <f>Results!Z1</f>
        <v>smean</v>
      </c>
      <c r="Y1" s="35" t="str">
        <f>Results!AA1</f>
        <v>39K</v>
      </c>
      <c r="Z1" s="35" t="str">
        <f>Results!AB1</f>
        <v>smean</v>
      </c>
      <c r="AA1" s="35" t="str">
        <f>Results!AC1</f>
        <v>d52Cr</v>
      </c>
      <c r="AB1" s="35" t="str">
        <f>Results!AD1</f>
        <v>smean</v>
      </c>
      <c r="AC1" s="35" t="str">
        <f>Results!AE1</f>
        <v>55Mn</v>
      </c>
      <c r="AD1" s="35" t="str">
        <f>Results!AF1</f>
        <v>smean</v>
      </c>
      <c r="AE1" s="35" t="str">
        <f>Results!AG1</f>
        <v>s/Ö(n)23Na</v>
      </c>
      <c r="AF1" s="35" t="str">
        <f>Results!AH1</f>
        <v>s/Ö(n)28Si</v>
      </c>
      <c r="AG1" s="35" t="str">
        <f>Results!AI1</f>
        <v>s/Ö(n)39K</v>
      </c>
      <c r="AH1" s="35" t="str">
        <f>Results!AJ1</f>
        <v>s/Ö(n)52Cr</v>
      </c>
      <c r="AI1" s="35" t="str">
        <f>Results!AK1</f>
        <v>s/Ö(n)55Mn</v>
      </c>
      <c r="AJ1" s="35">
        <f>Results!AL1</f>
        <v>0</v>
      </c>
    </row>
    <row r="2" spans="1:156" s="48" customFormat="1" x14ac:dyDescent="0.15">
      <c r="A2" s="46" t="str">
        <f>Results!A2</f>
        <v>G6_test.asc</v>
      </c>
      <c r="B2" s="47" t="str">
        <f>Results!B2</f>
        <v>/#1/</v>
      </c>
      <c r="C2" s="47">
        <f>Results!C2</f>
        <v>0.74508737875901521</v>
      </c>
      <c r="D2" s="47">
        <f>Results!D2</f>
        <v>1.2720492184315295E-3</v>
      </c>
      <c r="E2" s="47">
        <f>Results!E2</f>
        <v>1</v>
      </c>
      <c r="F2" s="47">
        <f>Results!F2</f>
        <v>0</v>
      </c>
      <c r="G2" s="47">
        <f>Results!I2</f>
        <v>6.8317512651848739E-2</v>
      </c>
      <c r="H2" s="47">
        <f>Results!J2</f>
        <v>1.1443610750852788E-4</v>
      </c>
      <c r="I2" s="47">
        <f>Results!K2</f>
        <v>4.3999346901743043E-2</v>
      </c>
      <c r="J2" s="47">
        <f>Results!L2</f>
        <v>8.4068090900872003E-5</v>
      </c>
      <c r="K2" s="47">
        <f>Results!M2</f>
        <v>102409.50175863301</v>
      </c>
      <c r="L2" s="47">
        <f>Results!N2</f>
        <v>368.05218688879779</v>
      </c>
      <c r="M2" s="47">
        <f>Results!O2</f>
        <v>137443.36898912684</v>
      </c>
      <c r="N2" s="47">
        <f>Results!P2</f>
        <v>326.18868414964868</v>
      </c>
      <c r="O2" s="47">
        <f>Results!Q2</f>
        <v>14328.537523371953</v>
      </c>
      <c r="P2" s="47">
        <f>Results!R2</f>
        <v>50.479041625626792</v>
      </c>
      <c r="Q2" s="47">
        <f>Results!S2</f>
        <v>9395.3268518839868</v>
      </c>
      <c r="R2" s="47">
        <f>Results!T2</f>
        <v>33.873957119412857</v>
      </c>
      <c r="S2" s="47">
        <f>Results!U2</f>
        <v>6051.6958837252614</v>
      </c>
      <c r="T2" s="47">
        <f>Results!V2</f>
        <v>22.270048448506163</v>
      </c>
      <c r="U2" s="47">
        <f>Results!W2</f>
        <v>-254.91262124098481</v>
      </c>
      <c r="V2" s="47">
        <f>Results!X2</f>
        <v>1.2720492184315295</v>
      </c>
      <c r="W2" s="47">
        <f>Results!Y2</f>
        <v>497703.37123478961</v>
      </c>
      <c r="X2" s="47">
        <f>Results!Z2</f>
        <v>0</v>
      </c>
      <c r="Y2" s="47">
        <f>Results!AA2</f>
        <v>-895.75946932647048</v>
      </c>
      <c r="Z2" s="47">
        <f>Results!AB2</f>
        <v>0.33467248047695314</v>
      </c>
      <c r="AA2" s="47">
        <f>Results!AC2</f>
        <v>33070.173873852356</v>
      </c>
      <c r="AB2" s="47">
        <f>Results!AD2</f>
        <v>57.069672605489664</v>
      </c>
      <c r="AC2" s="47">
        <f>Results!AE2</f>
        <v>-956.00065309825698</v>
      </c>
      <c r="AD2" s="47">
        <f>Results!AF2</f>
        <v>8.4068090900872E-2</v>
      </c>
      <c r="AE2" s="47">
        <f>Results!AG2</f>
        <v>3.3903216841573793</v>
      </c>
      <c r="AF2" s="47">
        <f>Results!AH2</f>
        <v>0</v>
      </c>
      <c r="AG2" s="47">
        <f>Results!AI2</f>
        <v>2.998024373592747</v>
      </c>
      <c r="AH2" s="47">
        <f>Results!AJ2</f>
        <v>1.2876957164225362</v>
      </c>
      <c r="AI2" s="47">
        <f>Results!AK2</f>
        <v>1.1924812323170468</v>
      </c>
      <c r="AJ2" s="47">
        <f>Results!AL2</f>
        <v>0</v>
      </c>
      <c r="AK2" s="47"/>
      <c r="AL2" s="47"/>
      <c r="AM2" s="47"/>
      <c r="AN2" s="47"/>
      <c r="AO2" s="47"/>
      <c r="AP2" s="47"/>
      <c r="AQ2" s="47"/>
      <c r="AR2" s="47"/>
      <c r="AS2" s="47"/>
      <c r="AT2" s="47"/>
      <c r="AU2" s="47"/>
      <c r="AV2" s="47"/>
      <c r="AW2" s="47"/>
      <c r="AX2" s="47"/>
      <c r="AY2" s="47"/>
      <c r="AZ2" s="47"/>
      <c r="BA2" s="47"/>
      <c r="BB2" s="47"/>
      <c r="BC2" s="47"/>
      <c r="BD2" s="47"/>
      <c r="BE2" s="47"/>
      <c r="BF2" s="47"/>
      <c r="BG2" s="47"/>
      <c r="BH2" s="47"/>
      <c r="BI2" s="47"/>
      <c r="BJ2" s="47"/>
      <c r="BK2" s="47"/>
      <c r="BL2" s="47"/>
      <c r="BM2" s="47"/>
      <c r="BN2" s="47"/>
      <c r="BO2" s="47"/>
      <c r="BP2" s="47"/>
      <c r="BQ2" s="47"/>
      <c r="BR2" s="47"/>
      <c r="BS2" s="47"/>
      <c r="BT2" s="47"/>
      <c r="BU2" s="47"/>
      <c r="BV2" s="47"/>
      <c r="BW2" s="47"/>
      <c r="BX2" s="47"/>
      <c r="BY2" s="47"/>
      <c r="BZ2" s="47"/>
      <c r="CA2" s="47"/>
      <c r="CB2" s="47"/>
      <c r="CC2" s="47"/>
      <c r="CD2" s="47"/>
      <c r="CE2" s="47"/>
      <c r="CF2" s="47"/>
      <c r="CG2" s="47"/>
      <c r="CH2" s="47"/>
      <c r="CI2" s="47"/>
      <c r="CJ2" s="47"/>
      <c r="CK2" s="47"/>
      <c r="CL2" s="47"/>
      <c r="CM2" s="47"/>
      <c r="CN2" s="47"/>
      <c r="CO2" s="47"/>
      <c r="CP2" s="47"/>
      <c r="CQ2" s="47"/>
      <c r="CR2" s="47"/>
      <c r="CS2" s="47"/>
      <c r="CT2" s="47"/>
      <c r="CU2" s="47"/>
      <c r="CV2" s="47"/>
      <c r="CW2" s="47"/>
      <c r="CX2" s="47"/>
      <c r="CY2" s="47"/>
      <c r="CZ2" s="47"/>
      <c r="DA2" s="47"/>
      <c r="DB2" s="47"/>
      <c r="DC2" s="47"/>
      <c r="DD2" s="47"/>
      <c r="DE2" s="47"/>
      <c r="DF2" s="47"/>
      <c r="DG2" s="47"/>
      <c r="DH2" s="47"/>
      <c r="DI2" s="47"/>
      <c r="DJ2" s="47"/>
      <c r="DK2" s="47"/>
      <c r="DL2" s="47"/>
      <c r="DM2" s="47"/>
      <c r="DN2" s="47"/>
      <c r="DO2" s="47"/>
      <c r="DP2" s="47"/>
      <c r="DQ2" s="47"/>
      <c r="DR2" s="47"/>
      <c r="DS2" s="47"/>
      <c r="DT2" s="47"/>
      <c r="DU2" s="47"/>
      <c r="DV2" s="47"/>
      <c r="DW2" s="47"/>
      <c r="DX2" s="47"/>
      <c r="DY2" s="47"/>
      <c r="DZ2" s="47"/>
      <c r="EA2" s="47"/>
      <c r="EB2" s="47"/>
      <c r="EC2" s="47"/>
      <c r="ED2" s="47"/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</row>
    <row r="3" spans="1:156" s="8" customFormat="1" x14ac:dyDescent="0.15">
      <c r="A3" s="41" t="str">
        <f>Results!A3</f>
        <v>G6@7.asc</v>
      </c>
      <c r="B3" s="11" t="str">
        <f>Results!B3</f>
        <v>/#1/</v>
      </c>
      <c r="C3" s="11">
        <f>Results!C3</f>
        <v>0.76397876822715016</v>
      </c>
      <c r="D3" s="11">
        <f>Results!D3</f>
        <v>1.2982831324414626E-3</v>
      </c>
      <c r="E3" s="11">
        <f>Results!E3</f>
        <v>1</v>
      </c>
      <c r="F3" s="11">
        <f>Results!F3</f>
        <v>0</v>
      </c>
      <c r="G3" s="11">
        <f>Results!I3</f>
        <v>6.7114140519755158E-2</v>
      </c>
      <c r="H3" s="11">
        <f>Results!J3</f>
        <v>1.447313637399797E-4</v>
      </c>
      <c r="I3" s="11">
        <f>Results!K3</f>
        <v>4.3253052062538717E-2</v>
      </c>
      <c r="J3" s="11">
        <f>Results!L3</f>
        <v>9.1101944094427615E-5</v>
      </c>
      <c r="K3" s="11">
        <f>Results!M3</f>
        <v>108520.54844391493</v>
      </c>
      <c r="L3" s="11">
        <f>Results!N3</f>
        <v>321.80696721970486</v>
      </c>
      <c r="M3" s="11">
        <f>Results!O3</f>
        <v>142054.96108079754</v>
      </c>
      <c r="N3" s="11">
        <f>Results!P3</f>
        <v>261.81702278492463</v>
      </c>
      <c r="O3" s="11">
        <f>Results!Q3</f>
        <v>14920.929693462636</v>
      </c>
      <c r="P3" s="11">
        <f>Results!R3</f>
        <v>54.381508026527982</v>
      </c>
      <c r="Q3" s="11">
        <f>Results!S3</f>
        <v>9537.6864351736349</v>
      </c>
      <c r="R3" s="11">
        <f>Results!T3</f>
        <v>32.233806567949891</v>
      </c>
      <c r="S3" s="11">
        <f>Results!U3</f>
        <v>6147.154457218996</v>
      </c>
      <c r="T3" s="11">
        <f>Results!V3</f>
        <v>19.523581576624473</v>
      </c>
      <c r="U3" s="11">
        <f>Results!W3</f>
        <v>-236.02123177284983</v>
      </c>
      <c r="V3" s="11">
        <f>Results!X3</f>
        <v>1.2982831324414625</v>
      </c>
      <c r="W3" s="11">
        <f>Results!Y3</f>
        <v>497703.37123478961</v>
      </c>
      <c r="X3" s="11">
        <f>Results!Z3</f>
        <v>0</v>
      </c>
      <c r="Y3" s="11">
        <f>Results!AA3</f>
        <v>-894.98051119324157</v>
      </c>
      <c r="Z3" s="11">
        <f>Results!AB3</f>
        <v>0.32975231549420853</v>
      </c>
      <c r="AA3" s="11">
        <f>Results!AC3</f>
        <v>32470.048134727287</v>
      </c>
      <c r="AB3" s="11">
        <f>Results!AD3</f>
        <v>72.178019020536453</v>
      </c>
      <c r="AC3" s="11">
        <f>Results!AE3</f>
        <v>-956.7469479374613</v>
      </c>
      <c r="AD3" s="11">
        <f>Results!AF3</f>
        <v>9.1101944094427609E-2</v>
      </c>
      <c r="AE3" s="11">
        <f>Results!AG3</f>
        <v>2.8909239270973783</v>
      </c>
      <c r="AF3" s="11">
        <f>Results!AH3</f>
        <v>0</v>
      </c>
      <c r="AG3" s="11">
        <f>Results!AI3</f>
        <v>2.5024261920306592</v>
      </c>
      <c r="AH3" s="11">
        <f>Results!AJ3</f>
        <v>1.398276091536043</v>
      </c>
      <c r="AI3" s="11">
        <f>Results!AK3</f>
        <v>1.1088750385872836</v>
      </c>
      <c r="AJ3" s="11">
        <f>Results!AL3</f>
        <v>0</v>
      </c>
      <c r="AK3" s="11"/>
      <c r="AL3" s="11"/>
      <c r="AM3" s="11"/>
      <c r="AN3" s="11"/>
      <c r="AO3" s="11"/>
      <c r="AP3" s="11"/>
      <c r="AQ3" s="11"/>
      <c r="AR3" s="11"/>
      <c r="AS3" s="11"/>
      <c r="AT3" s="11"/>
      <c r="AU3" s="11"/>
      <c r="AV3" s="11"/>
      <c r="AW3" s="11"/>
      <c r="AX3" s="11"/>
      <c r="AY3" s="11"/>
      <c r="AZ3" s="11"/>
      <c r="BA3" s="11"/>
      <c r="BB3" s="11"/>
      <c r="BC3" s="11"/>
      <c r="BD3" s="11"/>
      <c r="BE3" s="11"/>
      <c r="BF3" s="11"/>
      <c r="BG3" s="11"/>
      <c r="BH3" s="11"/>
      <c r="BI3" s="11"/>
      <c r="BJ3" s="11"/>
      <c r="BK3" s="11"/>
      <c r="BL3" s="11"/>
      <c r="BM3" s="11"/>
      <c r="BN3" s="11"/>
      <c r="BO3" s="11"/>
      <c r="BP3" s="11"/>
      <c r="BQ3" s="11"/>
      <c r="BR3" s="11"/>
      <c r="BS3" s="11"/>
      <c r="BT3" s="11"/>
      <c r="BU3" s="11"/>
      <c r="BV3" s="11"/>
      <c r="BW3" s="11"/>
      <c r="BX3" s="11"/>
      <c r="BY3" s="11"/>
      <c r="BZ3" s="11"/>
      <c r="CA3" s="11"/>
      <c r="CB3" s="11"/>
      <c r="CC3" s="11"/>
      <c r="CD3" s="11"/>
      <c r="CE3" s="11"/>
      <c r="CF3" s="11"/>
      <c r="CG3" s="11"/>
      <c r="CH3" s="11"/>
      <c r="CI3" s="11"/>
      <c r="CJ3" s="11"/>
      <c r="CK3" s="11"/>
      <c r="CL3" s="11"/>
      <c r="CM3" s="11"/>
      <c r="CN3" s="11"/>
      <c r="CO3" s="11"/>
      <c r="CP3" s="11"/>
      <c r="CQ3" s="11"/>
      <c r="CR3" s="11"/>
      <c r="CS3" s="11"/>
      <c r="CT3" s="11"/>
      <c r="CU3" s="11"/>
      <c r="CV3" s="11"/>
      <c r="CW3" s="11"/>
      <c r="CX3" s="11"/>
      <c r="CY3" s="11"/>
      <c r="CZ3" s="11"/>
      <c r="DA3" s="11"/>
      <c r="DB3" s="11"/>
      <c r="DC3" s="11"/>
      <c r="DD3" s="11"/>
      <c r="DE3" s="11"/>
      <c r="DF3" s="11"/>
      <c r="DG3" s="11"/>
      <c r="DH3" s="11"/>
      <c r="DI3" s="11"/>
      <c r="DJ3" s="11"/>
      <c r="DK3" s="11"/>
      <c r="DL3" s="11"/>
      <c r="DM3" s="11"/>
      <c r="DN3" s="11"/>
      <c r="DO3" s="11"/>
      <c r="DP3" s="11"/>
      <c r="DQ3" s="11"/>
      <c r="DR3" s="11"/>
      <c r="DS3" s="11"/>
      <c r="DT3" s="11"/>
      <c r="DU3" s="11"/>
      <c r="DV3" s="11"/>
      <c r="DW3" s="11"/>
      <c r="DX3" s="11"/>
      <c r="DY3" s="11"/>
      <c r="DZ3" s="11"/>
      <c r="EA3" s="11"/>
      <c r="EB3" s="11"/>
      <c r="EC3" s="11"/>
      <c r="ED3" s="11"/>
      <c r="EE3" s="11"/>
      <c r="EF3" s="11"/>
      <c r="EG3" s="11"/>
      <c r="EH3" s="11"/>
      <c r="EI3" s="11"/>
      <c r="EJ3" s="11"/>
      <c r="EK3" s="11"/>
      <c r="EL3" s="11"/>
      <c r="EM3" s="11"/>
      <c r="EN3" s="11"/>
      <c r="EO3" s="11"/>
      <c r="EP3" s="11"/>
      <c r="EQ3" s="11"/>
      <c r="ER3" s="11"/>
      <c r="ES3" s="11"/>
      <c r="ET3" s="11"/>
      <c r="EU3" s="11"/>
      <c r="EV3" s="11"/>
      <c r="EW3" s="11"/>
      <c r="EX3" s="11"/>
      <c r="EY3" s="11"/>
      <c r="EZ3" s="11"/>
    </row>
    <row r="4" spans="1:156" s="51" customFormat="1" x14ac:dyDescent="0.15">
      <c r="A4" s="52" t="str">
        <f>Results!A4</f>
        <v>G6@1.asc</v>
      </c>
      <c r="B4" s="53" t="str">
        <f>Results!B4</f>
        <v>/#1/</v>
      </c>
      <c r="C4" s="53">
        <f>Results!C4</f>
        <v>0.85359543875720933</v>
      </c>
      <c r="D4" s="53">
        <f>Results!D4</f>
        <v>1.412155592831237E-3</v>
      </c>
      <c r="E4" s="53">
        <f>Results!E4</f>
        <v>1</v>
      </c>
      <c r="F4" s="53">
        <f>Results!F4</f>
        <v>0</v>
      </c>
      <c r="G4" s="53">
        <f>Results!I4</f>
        <v>6.5975978075743624E-2</v>
      </c>
      <c r="H4" s="53">
        <f>Results!J4</f>
        <v>1.296744789536079E-4</v>
      </c>
      <c r="I4" s="53">
        <f>Results!K4</f>
        <v>4.4030971068093346E-2</v>
      </c>
      <c r="J4" s="53">
        <f>Results!L4</f>
        <v>9.8348699196556001E-5</v>
      </c>
      <c r="K4" s="53">
        <f>Results!M4</f>
        <v>120838.88922090729</v>
      </c>
      <c r="L4" s="53">
        <f>Results!N4</f>
        <v>356.472104683228</v>
      </c>
      <c r="M4" s="53">
        <f>Results!O4</f>
        <v>141573.20820858871</v>
      </c>
      <c r="N4" s="53">
        <f>Results!P4</f>
        <v>244.88328941737117</v>
      </c>
      <c r="O4" s="53">
        <f>Results!Q4</f>
        <v>15887.191148725693</v>
      </c>
      <c r="P4" s="53">
        <f>Results!R4</f>
        <v>54.783336727117579</v>
      </c>
      <c r="Q4" s="53">
        <f>Results!S4</f>
        <v>9343.7983496586967</v>
      </c>
      <c r="R4" s="53">
        <f>Results!T4</f>
        <v>28.417187596089956</v>
      </c>
      <c r="S4" s="53">
        <f>Results!U4</f>
        <v>6236.3946779887046</v>
      </c>
      <c r="T4" s="53">
        <f>Results!V4</f>
        <v>19.975016334514759</v>
      </c>
      <c r="U4" s="53">
        <f>Results!W4</f>
        <v>-146.40456124279066</v>
      </c>
      <c r="V4" s="53">
        <f>Results!X4</f>
        <v>1.412155592831237</v>
      </c>
      <c r="W4" s="53">
        <f>Results!Y4</f>
        <v>497703.37123478961</v>
      </c>
      <c r="X4" s="53">
        <f>Results!Z4</f>
        <v>0</v>
      </c>
      <c r="Y4" s="53">
        <f>Results!AA4</f>
        <v>-887.78175326403789</v>
      </c>
      <c r="Z4" s="53">
        <f>Results!AB4</f>
        <v>0.43621435201992387</v>
      </c>
      <c r="AA4" s="53">
        <f>Results!AC4</f>
        <v>31902.442686885912</v>
      </c>
      <c r="AB4" s="53">
        <f>Results!AD4</f>
        <v>64.669099817279033</v>
      </c>
      <c r="AC4" s="53">
        <f>Results!AE4</f>
        <v>-955.96902893190656</v>
      </c>
      <c r="AD4" s="53">
        <f>Results!AF4</f>
        <v>9.8348699196556005E-2</v>
      </c>
      <c r="AE4" s="53">
        <f>Results!AG4</f>
        <v>2.897117397039684</v>
      </c>
      <c r="AF4" s="53">
        <f>Results!AH4</f>
        <v>0</v>
      </c>
      <c r="AG4" s="53">
        <f>Results!AI4</f>
        <v>3.186387214264887</v>
      </c>
      <c r="AH4" s="53">
        <f>Results!AJ4</f>
        <v>1.2620759916187974</v>
      </c>
      <c r="AI4" s="53">
        <f>Results!AK4</f>
        <v>1.1839954160763528</v>
      </c>
      <c r="AJ4" s="53">
        <f>Results!AL4</f>
        <v>0</v>
      </c>
      <c r="AK4" s="53"/>
      <c r="AL4" s="53"/>
      <c r="AM4" s="53"/>
      <c r="AN4" s="53"/>
      <c r="AO4" s="53"/>
      <c r="AP4" s="53"/>
      <c r="AQ4" s="53"/>
      <c r="AR4" s="53"/>
      <c r="AS4" s="53"/>
      <c r="AT4" s="53"/>
      <c r="AU4" s="53"/>
      <c r="AV4" s="53"/>
      <c r="AW4" s="53"/>
      <c r="AX4" s="53"/>
      <c r="AY4" s="53"/>
      <c r="AZ4" s="53"/>
      <c r="BA4" s="53"/>
      <c r="BB4" s="53"/>
      <c r="BC4" s="53"/>
      <c r="BD4" s="53"/>
      <c r="BE4" s="53"/>
      <c r="BF4" s="53"/>
      <c r="BG4" s="53"/>
      <c r="BH4" s="53"/>
      <c r="BI4" s="53"/>
      <c r="BJ4" s="53"/>
      <c r="BK4" s="53"/>
      <c r="BL4" s="53"/>
      <c r="BM4" s="53"/>
      <c r="BN4" s="53"/>
      <c r="BO4" s="53"/>
      <c r="BP4" s="53"/>
      <c r="BQ4" s="53"/>
      <c r="BR4" s="53"/>
      <c r="BS4" s="53"/>
      <c r="BT4" s="53"/>
      <c r="BU4" s="53"/>
      <c r="BV4" s="53"/>
      <c r="BW4" s="53"/>
      <c r="BX4" s="53"/>
      <c r="BY4" s="53"/>
      <c r="BZ4" s="53"/>
      <c r="CA4" s="53"/>
      <c r="CB4" s="53"/>
      <c r="CC4" s="53"/>
      <c r="CD4" s="53"/>
      <c r="CE4" s="53"/>
      <c r="CF4" s="53"/>
      <c r="CG4" s="53"/>
      <c r="CH4" s="53"/>
      <c r="CI4" s="53"/>
      <c r="CJ4" s="53"/>
      <c r="CK4" s="53"/>
      <c r="CL4" s="53"/>
      <c r="CM4" s="53"/>
      <c r="CN4" s="53"/>
      <c r="CO4" s="53"/>
      <c r="CP4" s="53"/>
      <c r="CQ4" s="53"/>
      <c r="CR4" s="53"/>
      <c r="CS4" s="53"/>
      <c r="CT4" s="53"/>
      <c r="CU4" s="53"/>
      <c r="CV4" s="53"/>
      <c r="CW4" s="53"/>
      <c r="CX4" s="53"/>
      <c r="CY4" s="53"/>
      <c r="CZ4" s="53"/>
      <c r="DA4" s="53"/>
      <c r="DB4" s="53"/>
      <c r="DC4" s="53"/>
      <c r="DD4" s="53"/>
      <c r="DE4" s="53"/>
      <c r="DF4" s="53"/>
      <c r="DG4" s="53"/>
      <c r="DH4" s="53"/>
      <c r="DI4" s="53"/>
      <c r="DJ4" s="53"/>
      <c r="DK4" s="53"/>
      <c r="DL4" s="53"/>
      <c r="DM4" s="53"/>
      <c r="DN4" s="53"/>
      <c r="DO4" s="53"/>
      <c r="DP4" s="53"/>
      <c r="DQ4" s="53"/>
      <c r="DR4" s="53"/>
      <c r="DS4" s="53"/>
      <c r="DT4" s="53"/>
      <c r="DU4" s="53"/>
      <c r="DV4" s="53"/>
      <c r="DW4" s="53"/>
      <c r="DX4" s="53"/>
      <c r="DY4" s="53"/>
      <c r="DZ4" s="53"/>
      <c r="EA4" s="53"/>
      <c r="EB4" s="53"/>
      <c r="EC4" s="53"/>
      <c r="ED4" s="53"/>
      <c r="EE4" s="53"/>
      <c r="EF4" s="53"/>
      <c r="EG4" s="53"/>
      <c r="EH4" s="53"/>
      <c r="EI4" s="53"/>
      <c r="EJ4" s="53"/>
      <c r="EK4" s="53"/>
      <c r="EL4" s="53"/>
      <c r="EM4" s="53"/>
      <c r="EN4" s="53"/>
      <c r="EO4" s="53"/>
      <c r="EP4" s="53"/>
      <c r="EQ4" s="53"/>
      <c r="ER4" s="53"/>
      <c r="ES4" s="53"/>
      <c r="ET4" s="53"/>
      <c r="EU4" s="53"/>
      <c r="EV4" s="53"/>
      <c r="EW4" s="53"/>
      <c r="EX4" s="53"/>
      <c r="EY4" s="53"/>
      <c r="EZ4" s="53"/>
    </row>
    <row r="5" spans="1:156" s="51" customFormat="1" x14ac:dyDescent="0.15">
      <c r="A5" s="49" t="str">
        <f>Results!A5</f>
        <v>G6@2.asc</v>
      </c>
      <c r="B5" s="50" t="str">
        <f>Results!B5</f>
        <v>/#1/</v>
      </c>
      <c r="C5" s="50">
        <f>Results!C5</f>
        <v>0.59047298780284319</v>
      </c>
      <c r="D5" s="50">
        <f>Results!D5</f>
        <v>9.5211698077094409E-4</v>
      </c>
      <c r="E5" s="50">
        <f>Results!E5</f>
        <v>1</v>
      </c>
      <c r="F5" s="50">
        <f>Results!F5</f>
        <v>0</v>
      </c>
      <c r="G5" s="50">
        <f>Results!I5</f>
        <v>6.482335564664668E-2</v>
      </c>
      <c r="H5" s="50">
        <f>Results!J5</f>
        <v>1.1487806690499998E-4</v>
      </c>
      <c r="I5" s="50">
        <f>Results!K5</f>
        <v>4.1580435822923908E-2</v>
      </c>
      <c r="J5" s="50">
        <f>Results!L5</f>
        <v>9.5275786099328642E-5</v>
      </c>
      <c r="K5" s="50">
        <f>Results!M5</f>
        <v>80817.040837483684</v>
      </c>
      <c r="L5" s="50">
        <f>Results!N5</f>
        <v>232.86028214031626</v>
      </c>
      <c r="M5" s="50">
        <f>Results!O5</f>
        <v>136877.54453458334</v>
      </c>
      <c r="N5" s="50">
        <f>Results!P5</f>
        <v>253.4384257058075</v>
      </c>
      <c r="O5" s="50">
        <f>Results!Q5</f>
        <v>11503.737138365168</v>
      </c>
      <c r="P5" s="50">
        <f>Results!R5</f>
        <v>39.057397263834268</v>
      </c>
      <c r="Q5" s="50">
        <f>Results!S5</f>
        <v>8877.1100097356921</v>
      </c>
      <c r="R5" s="50">
        <f>Results!T5</f>
        <v>23.927413892525653</v>
      </c>
      <c r="S5" s="50">
        <f>Results!U5</f>
        <v>5695.1594034400068</v>
      </c>
      <c r="T5" s="50">
        <f>Results!V5</f>
        <v>18.976533939745316</v>
      </c>
      <c r="U5" s="50">
        <f>Results!W5</f>
        <v>-409.52701219715681</v>
      </c>
      <c r="V5" s="50">
        <f>Results!X5</f>
        <v>0.95211698077094409</v>
      </c>
      <c r="W5" s="50">
        <f>Results!Y5</f>
        <v>497703.37123478961</v>
      </c>
      <c r="X5" s="50">
        <f>Results!Z5</f>
        <v>0</v>
      </c>
      <c r="Y5" s="50">
        <f>Results!AA5</f>
        <v>-915.96648461511893</v>
      </c>
      <c r="Z5" s="50">
        <f>Results!AB5</f>
        <v>0.29773580911785674</v>
      </c>
      <c r="AA5" s="50">
        <f>Results!AC5</f>
        <v>31327.62599573443</v>
      </c>
      <c r="AB5" s="50">
        <f>Results!AD5</f>
        <v>57.290079246459193</v>
      </c>
      <c r="AC5" s="50">
        <f>Results!AE5</f>
        <v>-958.41956417707604</v>
      </c>
      <c r="AD5" s="50">
        <f>Results!AF5</f>
        <v>9.5275786099328644E-2</v>
      </c>
      <c r="AE5" s="50">
        <f>Results!AG5</f>
        <v>2.4929736832523282</v>
      </c>
      <c r="AF5" s="50">
        <f>Results!AH5</f>
        <v>0</v>
      </c>
      <c r="AG5" s="50">
        <f>Results!AI5</f>
        <v>2.5032729951596422</v>
      </c>
      <c r="AH5" s="50">
        <f>Results!AJ5</f>
        <v>1.1097622664720928</v>
      </c>
      <c r="AI5" s="50">
        <f>Results!AK5</f>
        <v>1.1620585543916329</v>
      </c>
      <c r="AJ5" s="50">
        <f>Results!AL5</f>
        <v>0</v>
      </c>
      <c r="AK5" s="50"/>
      <c r="AL5" s="50"/>
      <c r="AM5" s="50"/>
      <c r="AN5" s="50"/>
      <c r="AO5" s="50"/>
      <c r="AP5" s="50"/>
      <c r="AQ5" s="50"/>
      <c r="AR5" s="50"/>
      <c r="AS5" s="50"/>
      <c r="AT5" s="50"/>
      <c r="AU5" s="50"/>
      <c r="AV5" s="50"/>
      <c r="AW5" s="50"/>
      <c r="AX5" s="50"/>
      <c r="AY5" s="50"/>
      <c r="AZ5" s="50"/>
      <c r="BA5" s="50"/>
      <c r="BB5" s="50"/>
      <c r="BC5" s="50"/>
      <c r="BD5" s="50"/>
      <c r="BE5" s="50"/>
      <c r="BF5" s="50"/>
      <c r="BG5" s="50"/>
      <c r="BH5" s="50"/>
      <c r="BI5" s="50"/>
      <c r="BJ5" s="50"/>
      <c r="BK5" s="50"/>
      <c r="BL5" s="50"/>
      <c r="BM5" s="50"/>
      <c r="BN5" s="50"/>
      <c r="BO5" s="50"/>
      <c r="BP5" s="50"/>
      <c r="BQ5" s="50"/>
      <c r="BR5" s="50"/>
      <c r="BS5" s="50"/>
      <c r="BT5" s="50"/>
      <c r="BU5" s="50"/>
      <c r="BV5" s="50"/>
      <c r="BW5" s="50"/>
      <c r="BX5" s="50"/>
      <c r="BY5" s="50"/>
      <c r="BZ5" s="50"/>
      <c r="CA5" s="50"/>
      <c r="CB5" s="50"/>
      <c r="CC5" s="50"/>
      <c r="CD5" s="50"/>
      <c r="CE5" s="50"/>
      <c r="CF5" s="50"/>
      <c r="CG5" s="50"/>
      <c r="CH5" s="50"/>
      <c r="CI5" s="50"/>
      <c r="CJ5" s="50"/>
      <c r="CK5" s="50"/>
      <c r="CL5" s="50"/>
      <c r="CM5" s="50"/>
      <c r="CN5" s="50"/>
      <c r="CO5" s="50"/>
      <c r="CP5" s="50"/>
      <c r="CQ5" s="50"/>
      <c r="CR5" s="50"/>
      <c r="CS5" s="50"/>
      <c r="CT5" s="50"/>
      <c r="CU5" s="50"/>
      <c r="CV5" s="50"/>
      <c r="CW5" s="50"/>
      <c r="CX5" s="50"/>
      <c r="CY5" s="50"/>
      <c r="CZ5" s="50"/>
      <c r="DA5" s="50"/>
      <c r="DB5" s="50"/>
      <c r="DC5" s="50"/>
      <c r="DD5" s="50"/>
      <c r="DE5" s="50"/>
      <c r="DF5" s="50"/>
      <c r="DG5" s="50"/>
      <c r="DH5" s="50"/>
      <c r="DI5" s="50"/>
      <c r="DJ5" s="50"/>
      <c r="DK5" s="50"/>
      <c r="DL5" s="50"/>
      <c r="DM5" s="50"/>
      <c r="DN5" s="50"/>
      <c r="DO5" s="50"/>
      <c r="DP5" s="50"/>
      <c r="DQ5" s="50"/>
      <c r="DR5" s="50"/>
      <c r="DS5" s="50"/>
      <c r="DT5" s="50"/>
      <c r="DU5" s="50"/>
      <c r="DV5" s="50"/>
      <c r="DW5" s="50"/>
      <c r="DX5" s="50"/>
      <c r="DY5" s="50"/>
      <c r="DZ5" s="50"/>
      <c r="EA5" s="50"/>
      <c r="EB5" s="50"/>
      <c r="EC5" s="50"/>
      <c r="ED5" s="50"/>
      <c r="EE5" s="50"/>
      <c r="EF5" s="50"/>
      <c r="EG5" s="50"/>
      <c r="EH5" s="50"/>
      <c r="EI5" s="50"/>
      <c r="EJ5" s="50"/>
      <c r="EK5" s="50"/>
      <c r="EL5" s="50"/>
      <c r="EM5" s="50"/>
      <c r="EN5" s="50"/>
      <c r="EO5" s="50"/>
      <c r="EP5" s="50"/>
      <c r="EQ5" s="50"/>
      <c r="ER5" s="50"/>
      <c r="ES5" s="50"/>
      <c r="ET5" s="50"/>
      <c r="EU5" s="50"/>
      <c r="EV5" s="50"/>
      <c r="EW5" s="50"/>
      <c r="EX5" s="50"/>
      <c r="EY5" s="50"/>
      <c r="EZ5" s="50"/>
    </row>
    <row r="6" spans="1:156" s="51" customFormat="1" x14ac:dyDescent="0.15">
      <c r="A6" s="49" t="str">
        <f>Results!A6</f>
        <v>G6@8.asc</v>
      </c>
      <c r="B6" s="50" t="str">
        <f>Results!B6</f>
        <v>/#1/</v>
      </c>
      <c r="C6" s="50">
        <f>Results!C6</f>
        <v>0.61701383439683333</v>
      </c>
      <c r="D6" s="50">
        <f>Results!D6</f>
        <v>9.774122882456231E-4</v>
      </c>
      <c r="E6" s="50">
        <f>Results!E6</f>
        <v>1</v>
      </c>
      <c r="F6" s="50">
        <f>Results!F6</f>
        <v>0</v>
      </c>
      <c r="G6" s="50">
        <f>Results!I6</f>
        <v>6.5305690601122957E-2</v>
      </c>
      <c r="H6" s="50">
        <f>Results!J6</f>
        <v>1.0149559762196868E-4</v>
      </c>
      <c r="I6" s="50">
        <f>Results!K6</f>
        <v>4.2106808921246297E-2</v>
      </c>
      <c r="J6" s="50">
        <f>Results!L6</f>
        <v>9.5803881741268396E-5</v>
      </c>
      <c r="K6" s="50">
        <f>Results!M6</f>
        <v>84514.062981099138</v>
      </c>
      <c r="L6" s="50">
        <f>Results!N6</f>
        <v>231.55182698440697</v>
      </c>
      <c r="M6" s="50">
        <f>Results!O6</f>
        <v>136980.18278844765</v>
      </c>
      <c r="N6" s="50">
        <f>Results!P6</f>
        <v>239.95620548249903</v>
      </c>
      <c r="O6" s="50">
        <f>Results!Q6</f>
        <v>12205.760611417605</v>
      </c>
      <c r="P6" s="50">
        <f>Results!R6</f>
        <v>52.190614691841368</v>
      </c>
      <c r="Q6" s="50">
        <f>Results!S6</f>
        <v>8949.5875026289305</v>
      </c>
      <c r="R6" s="50">
        <f>Results!T6</f>
        <v>24.470822570449084</v>
      </c>
      <c r="S6" s="50">
        <f>Results!U6</f>
        <v>5771.100182269568</v>
      </c>
      <c r="T6" s="50">
        <f>Results!V6</f>
        <v>18.777541167879555</v>
      </c>
      <c r="U6" s="50">
        <f>Results!W6</f>
        <v>-382.98616560316668</v>
      </c>
      <c r="V6" s="50">
        <f>Results!X6</f>
        <v>0.9774122882456231</v>
      </c>
      <c r="W6" s="50">
        <f>Results!Y6</f>
        <v>497703.37123478961</v>
      </c>
      <c r="X6" s="50">
        <f>Results!Z6</f>
        <v>0</v>
      </c>
      <c r="Y6" s="50">
        <f>Results!AA6</f>
        <v>-910.90309926505142</v>
      </c>
      <c r="Z6" s="50">
        <f>Results!AB6</f>
        <v>0.39229088005002033</v>
      </c>
      <c r="AA6" s="50">
        <f>Results!AC6</f>
        <v>31568.168063596127</v>
      </c>
      <c r="AB6" s="50">
        <f>Results!AD6</f>
        <v>50.616196699565471</v>
      </c>
      <c r="AC6" s="50">
        <f>Results!AE6</f>
        <v>-957.89319107875372</v>
      </c>
      <c r="AD6" s="50">
        <f>Results!AF6</f>
        <v>9.5803881741268401E-2</v>
      </c>
      <c r="AE6" s="50">
        <f>Results!AG6</f>
        <v>2.4838689962930749</v>
      </c>
      <c r="AF6" s="50">
        <f>Results!AH6</f>
        <v>0</v>
      </c>
      <c r="AG6" s="50">
        <f>Results!AI6</f>
        <v>3.1968820514460692</v>
      </c>
      <c r="AH6" s="50">
        <f>Results!AJ6</f>
        <v>0.97698583212649892</v>
      </c>
      <c r="AI6" s="50">
        <f>Results!AK6</f>
        <v>1.1612683786624389</v>
      </c>
      <c r="AJ6" s="50">
        <f>Results!AL6</f>
        <v>0</v>
      </c>
      <c r="AK6" s="50"/>
      <c r="AL6" s="50"/>
      <c r="AM6" s="50"/>
      <c r="AN6" s="50"/>
      <c r="AO6" s="50"/>
      <c r="AP6" s="50"/>
      <c r="AQ6" s="50"/>
      <c r="AR6" s="50"/>
      <c r="AS6" s="50"/>
      <c r="AT6" s="50"/>
      <c r="AU6" s="50"/>
      <c r="AV6" s="50"/>
      <c r="AW6" s="50"/>
      <c r="AX6" s="50"/>
      <c r="AY6" s="50"/>
      <c r="AZ6" s="50"/>
      <c r="BA6" s="50"/>
      <c r="BB6" s="50"/>
      <c r="BC6" s="50"/>
      <c r="BD6" s="50"/>
      <c r="BE6" s="50"/>
      <c r="BF6" s="50"/>
      <c r="BG6" s="50"/>
      <c r="BH6" s="50"/>
      <c r="BI6" s="50"/>
      <c r="BJ6" s="50"/>
      <c r="BK6" s="50"/>
      <c r="BL6" s="50"/>
      <c r="BM6" s="50"/>
      <c r="BN6" s="50"/>
      <c r="BO6" s="50"/>
      <c r="BP6" s="50"/>
      <c r="BQ6" s="50"/>
      <c r="BR6" s="50"/>
      <c r="BS6" s="50"/>
      <c r="BT6" s="50"/>
      <c r="BU6" s="50"/>
      <c r="BV6" s="50"/>
      <c r="BW6" s="50"/>
      <c r="BX6" s="50"/>
      <c r="BY6" s="50"/>
      <c r="BZ6" s="50"/>
      <c r="CA6" s="50"/>
      <c r="CB6" s="50"/>
      <c r="CC6" s="50"/>
      <c r="CD6" s="50"/>
      <c r="CE6" s="50"/>
      <c r="CF6" s="50"/>
      <c r="CG6" s="50"/>
      <c r="CH6" s="50"/>
      <c r="CI6" s="50"/>
      <c r="CJ6" s="50"/>
      <c r="CK6" s="50"/>
      <c r="CL6" s="50"/>
      <c r="CM6" s="50"/>
      <c r="CN6" s="50"/>
      <c r="CO6" s="50"/>
      <c r="CP6" s="50"/>
      <c r="CQ6" s="50"/>
      <c r="CR6" s="50"/>
      <c r="CS6" s="50"/>
      <c r="CT6" s="50"/>
      <c r="CU6" s="50"/>
      <c r="CV6" s="50"/>
      <c r="CW6" s="50"/>
      <c r="CX6" s="50"/>
      <c r="CY6" s="50"/>
      <c r="CZ6" s="50"/>
      <c r="DA6" s="50"/>
      <c r="DB6" s="50"/>
      <c r="DC6" s="50"/>
      <c r="DD6" s="50"/>
      <c r="DE6" s="50"/>
      <c r="DF6" s="50"/>
      <c r="DG6" s="50"/>
      <c r="DH6" s="50"/>
      <c r="DI6" s="50"/>
      <c r="DJ6" s="50"/>
      <c r="DK6" s="50"/>
      <c r="DL6" s="50"/>
      <c r="DM6" s="50"/>
      <c r="DN6" s="50"/>
      <c r="DO6" s="50"/>
      <c r="DP6" s="50"/>
      <c r="DQ6" s="50"/>
      <c r="DR6" s="50"/>
      <c r="DS6" s="50"/>
      <c r="DT6" s="50"/>
      <c r="DU6" s="50"/>
      <c r="DV6" s="50"/>
      <c r="DW6" s="50"/>
      <c r="DX6" s="50"/>
      <c r="DY6" s="50"/>
      <c r="DZ6" s="50"/>
      <c r="EA6" s="50"/>
      <c r="EB6" s="50"/>
      <c r="EC6" s="50"/>
      <c r="ED6" s="50"/>
      <c r="EE6" s="50"/>
      <c r="EF6" s="50"/>
      <c r="EG6" s="50"/>
      <c r="EH6" s="50"/>
      <c r="EI6" s="50"/>
      <c r="EJ6" s="50"/>
      <c r="EK6" s="50"/>
      <c r="EL6" s="50"/>
      <c r="EM6" s="50"/>
      <c r="EN6" s="50"/>
      <c r="EO6" s="50"/>
      <c r="EP6" s="50"/>
      <c r="EQ6" s="50"/>
      <c r="ER6" s="50"/>
      <c r="ES6" s="50"/>
      <c r="ET6" s="50"/>
      <c r="EU6" s="50"/>
      <c r="EV6" s="50"/>
      <c r="EW6" s="50"/>
      <c r="EX6" s="50"/>
      <c r="EY6" s="50"/>
      <c r="EZ6" s="50"/>
    </row>
    <row r="7" spans="1:156" x14ac:dyDescent="0.15">
      <c r="A7" s="39" t="str">
        <f>Results!A7</f>
        <v>G6@10.asc</v>
      </c>
      <c r="B7" s="35" t="str">
        <f>Results!B7</f>
        <v>/#1/</v>
      </c>
      <c r="C7" s="35">
        <f>Results!C7</f>
        <v>0.64701504531808784</v>
      </c>
      <c r="D7" s="35">
        <f>Results!D7</f>
        <v>1.0254621254185898E-3</v>
      </c>
      <c r="E7" s="35">
        <f>Results!E7</f>
        <v>1</v>
      </c>
      <c r="F7" s="35">
        <f>Results!F7</f>
        <v>0</v>
      </c>
      <c r="G7" s="35">
        <f>Results!I7</f>
        <v>6.8069548857638287E-2</v>
      </c>
      <c r="H7" s="35">
        <f>Results!J7</f>
        <v>1.3754411123291136E-4</v>
      </c>
      <c r="I7" s="35">
        <f>Results!K7</f>
        <v>4.4504954685955077E-2</v>
      </c>
      <c r="J7" s="35">
        <f>Results!L7</f>
        <v>9.6858049814866994E-5</v>
      </c>
      <c r="K7" s="35">
        <f>Results!M7</f>
        <v>90745.734848881882</v>
      </c>
      <c r="L7" s="35">
        <f>Results!N7</f>
        <v>270.37181116503791</v>
      </c>
      <c r="M7" s="35">
        <f>Results!O7</f>
        <v>140254.06801712306</v>
      </c>
      <c r="N7" s="35">
        <f>Results!P7</f>
        <v>248.75083550213861</v>
      </c>
      <c r="O7" s="35">
        <f>Results!Q7</f>
        <v>13910.887726190536</v>
      </c>
      <c r="P7" s="35">
        <f>Results!R7</f>
        <v>51.375711509354858</v>
      </c>
      <c r="Q7" s="35">
        <f>Results!S7</f>
        <v>9550.9658338082409</v>
      </c>
      <c r="R7" s="35">
        <f>Results!T7</f>
        <v>33.256639418446852</v>
      </c>
      <c r="S7" s="35">
        <f>Results!U7</f>
        <v>6244.7124937363278</v>
      </c>
      <c r="T7" s="35">
        <f>Results!V7</f>
        <v>19.831397376191717</v>
      </c>
      <c r="U7" s="35">
        <f>Results!W7</f>
        <v>-352.98495468191214</v>
      </c>
      <c r="V7" s="35">
        <f>Results!X7</f>
        <v>1.0254621254185898</v>
      </c>
      <c r="W7" s="35">
        <f>Results!Y7</f>
        <v>497703.37123478961</v>
      </c>
      <c r="X7" s="35">
        <f>Results!Z7</f>
        <v>0</v>
      </c>
      <c r="Y7" s="35">
        <f>Results!AA7</f>
        <v>-900.82727472323597</v>
      </c>
      <c r="Z7" s="35">
        <f>Results!AB7</f>
        <v>0.34608844165031583</v>
      </c>
      <c r="AA7" s="35">
        <f>Results!AC7</f>
        <v>32946.513493735431</v>
      </c>
      <c r="AB7" s="35">
        <f>Results!AD7</f>
        <v>68.593711965345776</v>
      </c>
      <c r="AC7" s="35">
        <f>Results!AE7</f>
        <v>-955.495045314045</v>
      </c>
      <c r="AD7" s="35">
        <f>Results!AF7</f>
        <v>9.6858049814866995E-2</v>
      </c>
      <c r="AE7" s="35">
        <f>Results!AG7</f>
        <v>2.5515491662073315</v>
      </c>
      <c r="AF7" s="35">
        <f>Results!AH7</f>
        <v>0</v>
      </c>
      <c r="AG7" s="35">
        <f>Results!AI7</f>
        <v>2.6925937216920208</v>
      </c>
      <c r="AH7" s="35">
        <f>Results!AJ7</f>
        <v>1.3105118768524981</v>
      </c>
      <c r="AI7" s="35">
        <f>Results!AK7</f>
        <v>1.1541386009928043</v>
      </c>
      <c r="AJ7" s="35">
        <f>Results!AL7</f>
        <v>0</v>
      </c>
      <c r="AK7" s="35"/>
      <c r="AL7" s="35"/>
      <c r="AM7" s="35"/>
      <c r="AN7" s="35"/>
      <c r="AO7" s="35"/>
      <c r="AP7" s="35"/>
      <c r="AQ7" s="35"/>
      <c r="AR7" s="35"/>
      <c r="AS7" s="35"/>
      <c r="AT7" s="35"/>
      <c r="AU7" s="35"/>
      <c r="AV7" s="35"/>
      <c r="AW7" s="35"/>
      <c r="AX7" s="35"/>
      <c r="AY7" s="35"/>
      <c r="AZ7" s="35"/>
      <c r="BA7" s="35"/>
      <c r="BB7" s="35"/>
      <c r="BC7" s="35"/>
      <c r="BD7" s="35"/>
      <c r="BE7" s="35"/>
      <c r="BF7" s="35"/>
      <c r="BG7" s="35"/>
      <c r="BH7" s="35"/>
      <c r="BI7" s="35"/>
      <c r="BJ7" s="35"/>
      <c r="BK7" s="35"/>
      <c r="BL7" s="35"/>
      <c r="BM7" s="35"/>
      <c r="BN7" s="35"/>
      <c r="BO7" s="35"/>
      <c r="BP7" s="35"/>
      <c r="BQ7" s="35"/>
      <c r="BR7" s="35"/>
      <c r="BS7" s="35"/>
      <c r="BT7" s="35"/>
      <c r="BU7" s="35"/>
      <c r="BV7" s="35"/>
      <c r="BW7" s="35"/>
      <c r="BX7" s="35"/>
      <c r="BY7" s="35"/>
      <c r="BZ7" s="35"/>
      <c r="CA7" s="35"/>
      <c r="CB7" s="35"/>
      <c r="CC7" s="35"/>
      <c r="CD7" s="35"/>
      <c r="CE7" s="35"/>
      <c r="CF7" s="35"/>
      <c r="CG7" s="35"/>
      <c r="CH7" s="35"/>
      <c r="CI7" s="35"/>
      <c r="CJ7" s="35"/>
      <c r="CK7" s="35"/>
      <c r="CL7" s="35"/>
      <c r="CM7" s="35"/>
      <c r="CN7" s="35"/>
      <c r="CO7" s="35"/>
      <c r="CP7" s="35"/>
      <c r="CQ7" s="35"/>
      <c r="CR7" s="35"/>
      <c r="CS7" s="35"/>
      <c r="CT7" s="35"/>
      <c r="CU7" s="35"/>
      <c r="CV7" s="35"/>
      <c r="CW7" s="35"/>
      <c r="CX7" s="35"/>
      <c r="CY7" s="35"/>
      <c r="CZ7" s="35"/>
      <c r="DA7" s="35"/>
      <c r="DB7" s="35"/>
      <c r="DC7" s="35"/>
      <c r="DD7" s="35"/>
      <c r="DE7" s="35"/>
      <c r="DF7" s="35"/>
      <c r="DG7" s="35"/>
      <c r="DH7" s="35"/>
      <c r="DI7" s="35"/>
      <c r="DJ7" s="35"/>
      <c r="DK7" s="35"/>
      <c r="DL7" s="35"/>
      <c r="DM7" s="35"/>
      <c r="DN7" s="35"/>
      <c r="DO7" s="35"/>
      <c r="DP7" s="35"/>
      <c r="DQ7" s="35"/>
      <c r="DR7" s="35"/>
      <c r="DS7" s="35"/>
      <c r="DT7" s="35"/>
      <c r="DU7" s="35"/>
      <c r="DV7" s="35"/>
      <c r="DW7" s="35"/>
      <c r="DX7" s="35"/>
      <c r="DY7" s="35"/>
      <c r="DZ7" s="35"/>
      <c r="EA7" s="35"/>
      <c r="EB7" s="35"/>
      <c r="EC7" s="35"/>
      <c r="ED7" s="35"/>
      <c r="EE7" s="35"/>
      <c r="EF7" s="35"/>
      <c r="EG7" s="35"/>
      <c r="EH7" s="35"/>
      <c r="EI7" s="35"/>
      <c r="EJ7" s="35"/>
      <c r="EK7" s="35"/>
      <c r="EL7" s="35"/>
      <c r="EM7" s="35"/>
      <c r="EN7" s="35"/>
      <c r="EO7" s="35"/>
      <c r="EP7" s="35"/>
      <c r="EQ7" s="35"/>
      <c r="ER7" s="35"/>
      <c r="ES7" s="35"/>
      <c r="ET7" s="35"/>
      <c r="EU7" s="35"/>
      <c r="EV7" s="35"/>
      <c r="EW7" s="35"/>
      <c r="EX7" s="35"/>
      <c r="EY7" s="35"/>
      <c r="EZ7" s="35"/>
    </row>
    <row r="8" spans="1:156" x14ac:dyDescent="0.15">
      <c r="A8" s="39" t="str">
        <f>Results!A8</f>
        <v>G6@3.asc</v>
      </c>
      <c r="B8" s="35" t="str">
        <f>Results!B8</f>
        <v>/#1/</v>
      </c>
      <c r="C8" s="35">
        <f>Results!C8</f>
        <v>0.762338348602564</v>
      </c>
      <c r="D8" s="35">
        <f>Results!D8</f>
        <v>1.4960158742049596E-3</v>
      </c>
      <c r="E8" s="35">
        <f>Results!E8</f>
        <v>1</v>
      </c>
      <c r="F8" s="35">
        <f>Results!F8</f>
        <v>0</v>
      </c>
      <c r="G8" s="35">
        <f>Results!I8</f>
        <v>6.7768342930912481E-2</v>
      </c>
      <c r="H8" s="35">
        <f>Results!J8</f>
        <v>1.5871292082402113E-4</v>
      </c>
      <c r="I8" s="35">
        <f>Results!K8</f>
        <v>4.4214590710954967E-2</v>
      </c>
      <c r="J8" s="35">
        <f>Results!L8</f>
        <v>1.1039986833038563E-4</v>
      </c>
      <c r="K8" s="35">
        <f>Results!M8</f>
        <v>106299.34201516274</v>
      </c>
      <c r="L8" s="35">
        <f>Results!N8</f>
        <v>321.11821062009187</v>
      </c>
      <c r="M8" s="35">
        <f>Results!O8</f>
        <v>139447.95750563595</v>
      </c>
      <c r="N8" s="35">
        <f>Results!P8</f>
        <v>224.52685329252463</v>
      </c>
      <c r="O8" s="35">
        <f>Results!Q8</f>
        <v>14999.845363229029</v>
      </c>
      <c r="P8" s="35">
        <f>Results!R8</f>
        <v>60.974666474884074</v>
      </c>
      <c r="Q8" s="35">
        <f>Results!S8</f>
        <v>9454.627747322862</v>
      </c>
      <c r="R8" s="35">
        <f>Results!T8</f>
        <v>32.105119846173203</v>
      </c>
      <c r="S8" s="35">
        <f>Results!U8</f>
        <v>6169.1082458846222</v>
      </c>
      <c r="T8" s="35">
        <f>Results!V8</f>
        <v>20.702679012830824</v>
      </c>
      <c r="U8" s="35">
        <f>Results!W8</f>
        <v>-237.661651397436</v>
      </c>
      <c r="V8" s="35">
        <f>Results!X8</f>
        <v>1.4960158742049596</v>
      </c>
      <c r="W8" s="35">
        <f>Results!Y8</f>
        <v>497703.37123478961</v>
      </c>
      <c r="X8" s="35">
        <f>Results!Z8</f>
        <v>0</v>
      </c>
      <c r="Y8" s="35">
        <f>Results!AA8</f>
        <v>-892.44939909675213</v>
      </c>
      <c r="Z8" s="35">
        <f>Results!AB8</f>
        <v>0.43358217103576735</v>
      </c>
      <c r="AA8" s="35">
        <f>Results!AC8</f>
        <v>32796.301082641374</v>
      </c>
      <c r="AB8" s="35">
        <f>Results!AD8</f>
        <v>79.150668673459577</v>
      </c>
      <c r="AC8" s="35">
        <f>Results!AE8</f>
        <v>-955.78540928904499</v>
      </c>
      <c r="AD8" s="35">
        <f>Results!AF8</f>
        <v>0.11039986833038563</v>
      </c>
      <c r="AE8" s="35">
        <f>Results!AG8</f>
        <v>3.3055907243537894</v>
      </c>
      <c r="AF8" s="35">
        <f>Results!AH8</f>
        <v>0</v>
      </c>
      <c r="AG8" s="35">
        <f>Results!AI8</f>
        <v>3.2177391412772449</v>
      </c>
      <c r="AH8" s="35">
        <f>Results!AJ8</f>
        <v>1.5114585828760099</v>
      </c>
      <c r="AI8" s="35">
        <f>Results!AK8</f>
        <v>1.3162783529425208</v>
      </c>
      <c r="AJ8" s="35">
        <f>Results!AL8</f>
        <v>0</v>
      </c>
      <c r="AK8" s="35"/>
      <c r="AL8" s="35"/>
      <c r="AM8" s="35"/>
      <c r="AN8" s="35"/>
      <c r="AO8" s="35"/>
      <c r="AP8" s="35"/>
      <c r="AQ8" s="35"/>
      <c r="AR8" s="35"/>
      <c r="AS8" s="35"/>
      <c r="AT8" s="35"/>
      <c r="AU8" s="35"/>
      <c r="AV8" s="35"/>
      <c r="AW8" s="35"/>
      <c r="AX8" s="35"/>
      <c r="AY8" s="35"/>
      <c r="AZ8" s="35"/>
      <c r="BA8" s="35"/>
      <c r="BB8" s="35"/>
      <c r="BC8" s="35"/>
      <c r="BD8" s="35"/>
      <c r="BE8" s="35"/>
      <c r="BF8" s="35"/>
      <c r="BG8" s="35"/>
      <c r="BH8" s="35"/>
      <c r="BI8" s="35"/>
      <c r="BJ8" s="35"/>
      <c r="BK8" s="35"/>
      <c r="BL8" s="35"/>
      <c r="BM8" s="35"/>
      <c r="BN8" s="35"/>
      <c r="BO8" s="35"/>
      <c r="BP8" s="35"/>
      <c r="BQ8" s="35"/>
      <c r="BR8" s="35"/>
      <c r="BS8" s="35"/>
      <c r="BT8" s="35"/>
      <c r="BU8" s="35"/>
      <c r="BV8" s="35"/>
      <c r="BW8" s="35"/>
      <c r="BX8" s="35"/>
      <c r="BY8" s="35"/>
      <c r="BZ8" s="35"/>
      <c r="CA8" s="35"/>
      <c r="CB8" s="35"/>
      <c r="CC8" s="35"/>
      <c r="CD8" s="35"/>
      <c r="CE8" s="35"/>
      <c r="CF8" s="35"/>
      <c r="CG8" s="35"/>
      <c r="CH8" s="35"/>
      <c r="CI8" s="35"/>
      <c r="CJ8" s="35"/>
      <c r="CK8" s="35"/>
      <c r="CL8" s="35"/>
      <c r="CM8" s="35"/>
      <c r="CN8" s="35"/>
      <c r="CO8" s="35"/>
      <c r="CP8" s="35"/>
      <c r="CQ8" s="35"/>
      <c r="CR8" s="35"/>
      <c r="CS8" s="35"/>
      <c r="CT8" s="35"/>
      <c r="CU8" s="35"/>
      <c r="CV8" s="35"/>
      <c r="CW8" s="35"/>
      <c r="CX8" s="35"/>
      <c r="CY8" s="35"/>
      <c r="CZ8" s="35"/>
      <c r="DA8" s="35"/>
      <c r="DB8" s="35"/>
      <c r="DC8" s="35"/>
      <c r="DD8" s="35"/>
      <c r="DE8" s="35"/>
      <c r="DF8" s="35"/>
      <c r="DG8" s="35"/>
      <c r="DH8" s="35"/>
      <c r="DI8" s="35"/>
      <c r="DJ8" s="35"/>
      <c r="DK8" s="35"/>
      <c r="DL8" s="35"/>
      <c r="DM8" s="35"/>
      <c r="DN8" s="35"/>
      <c r="DO8" s="35"/>
      <c r="DP8" s="35"/>
      <c r="DQ8" s="35"/>
      <c r="DR8" s="35"/>
      <c r="DS8" s="35"/>
      <c r="DT8" s="35"/>
      <c r="DU8" s="35"/>
      <c r="DV8" s="35"/>
      <c r="DW8" s="35"/>
      <c r="DX8" s="35"/>
      <c r="DY8" s="35"/>
      <c r="DZ8" s="35"/>
      <c r="EA8" s="35"/>
      <c r="EB8" s="35"/>
      <c r="EC8" s="35"/>
      <c r="ED8" s="35"/>
      <c r="EE8" s="35"/>
      <c r="EF8" s="35"/>
      <c r="EG8" s="35"/>
      <c r="EH8" s="35"/>
      <c r="EI8" s="35"/>
      <c r="EJ8" s="35"/>
      <c r="EK8" s="35"/>
      <c r="EL8" s="35"/>
      <c r="EM8" s="35"/>
      <c r="EN8" s="35"/>
      <c r="EO8" s="35"/>
      <c r="EP8" s="35"/>
      <c r="EQ8" s="35"/>
      <c r="ER8" s="35"/>
      <c r="ES8" s="35"/>
      <c r="ET8" s="35"/>
      <c r="EU8" s="35"/>
      <c r="EV8" s="35"/>
      <c r="EW8" s="35"/>
      <c r="EX8" s="35"/>
      <c r="EY8" s="35"/>
      <c r="EZ8" s="35"/>
    </row>
    <row r="9" spans="1:156" s="51" customFormat="1" x14ac:dyDescent="0.15">
      <c r="A9" s="49" t="str">
        <f>Results!A9</f>
        <v>G6@4.asc</v>
      </c>
      <c r="B9" s="50" t="str">
        <f>Results!B9</f>
        <v>/#1/</v>
      </c>
      <c r="C9" s="50">
        <f>Results!C9</f>
        <v>0.70093470420618709</v>
      </c>
      <c r="D9" s="50">
        <f>Results!D9</f>
        <v>1.3374373232129901E-3</v>
      </c>
      <c r="E9" s="50">
        <f>Results!E9</f>
        <v>1</v>
      </c>
      <c r="F9" s="50">
        <f>Results!F9</f>
        <v>0</v>
      </c>
      <c r="G9" s="50">
        <f>Results!I9</f>
        <v>6.8136043558747361E-2</v>
      </c>
      <c r="H9" s="50">
        <f>Results!J9</f>
        <v>1.1874766816360813E-4</v>
      </c>
      <c r="I9" s="50">
        <f>Results!K9</f>
        <v>4.4373700769754255E-2</v>
      </c>
      <c r="J9" s="50">
        <f>Results!L9</f>
        <v>8.7977186753934232E-5</v>
      </c>
      <c r="K9" s="50">
        <f>Results!M9</f>
        <v>97863.86290420829</v>
      </c>
      <c r="L9" s="50">
        <f>Results!N9</f>
        <v>296.30492550192599</v>
      </c>
      <c r="M9" s="50">
        <f>Results!O9</f>
        <v>139629.81421942665</v>
      </c>
      <c r="N9" s="50">
        <f>Results!P9</f>
        <v>267.24996060978799</v>
      </c>
      <c r="O9" s="50">
        <f>Results!Q9</f>
        <v>14083.180558939101</v>
      </c>
      <c r="P9" s="50">
        <f>Results!R9</f>
        <v>65.177360887676556</v>
      </c>
      <c r="Q9" s="50">
        <f>Results!S9</f>
        <v>9518.5328265760854</v>
      </c>
      <c r="R9" s="50">
        <f>Results!T9</f>
        <v>26.932240085141579</v>
      </c>
      <c r="S9" s="50">
        <f>Results!U9</f>
        <v>6199.8262263086945</v>
      </c>
      <c r="T9" s="50">
        <f>Results!V9</f>
        <v>18.605264414403504</v>
      </c>
      <c r="U9" s="50">
        <f>Results!W9</f>
        <v>-299.06529579381294</v>
      </c>
      <c r="V9" s="50">
        <f>Results!X9</f>
        <v>1.3374373232129901</v>
      </c>
      <c r="W9" s="50">
        <f>Results!Y9</f>
        <v>497703.37123478961</v>
      </c>
      <c r="X9" s="50">
        <f>Results!Z9</f>
        <v>0</v>
      </c>
      <c r="Y9" s="50">
        <f>Results!AA9</f>
        <v>-899.15301570291831</v>
      </c>
      <c r="Z9" s="50">
        <f>Results!AB9</f>
        <v>0.47101473732287513</v>
      </c>
      <c r="AA9" s="50">
        <f>Results!AC9</f>
        <v>32979.674625347776</v>
      </c>
      <c r="AB9" s="50">
        <f>Results!AD9</f>
        <v>59.219862439461473</v>
      </c>
      <c r="AC9" s="50">
        <f>Results!AE9</f>
        <v>-955.62629923024576</v>
      </c>
      <c r="AD9" s="50">
        <f>Results!AF9</f>
        <v>8.7977186753934233E-2</v>
      </c>
      <c r="AE9" s="50">
        <f>Results!AG9</f>
        <v>3.139089972300146</v>
      </c>
      <c r="AF9" s="50">
        <f>Results!AH9</f>
        <v>0</v>
      </c>
      <c r="AG9" s="50">
        <f>Results!AI9</f>
        <v>3.6231757284193638</v>
      </c>
      <c r="AH9" s="50">
        <f>Results!AJ9</f>
        <v>1.1283574446439595</v>
      </c>
      <c r="AI9" s="50">
        <f>Results!AK9</f>
        <v>1.0476929284551617</v>
      </c>
      <c r="AJ9" s="50">
        <f>Results!AL9</f>
        <v>0</v>
      </c>
      <c r="AK9" s="50"/>
      <c r="AL9" s="50"/>
      <c r="AM9" s="50"/>
      <c r="AN9" s="50"/>
      <c r="AO9" s="50"/>
      <c r="AP9" s="50"/>
      <c r="AQ9" s="50"/>
      <c r="AR9" s="50"/>
      <c r="AS9" s="50"/>
      <c r="AT9" s="50"/>
      <c r="AU9" s="50"/>
      <c r="AV9" s="50"/>
      <c r="AW9" s="50"/>
      <c r="AX9" s="50"/>
      <c r="AY9" s="50"/>
      <c r="AZ9" s="50"/>
      <c r="BA9" s="50"/>
      <c r="BB9" s="50"/>
      <c r="BC9" s="50"/>
      <c r="BD9" s="50"/>
      <c r="BE9" s="50"/>
      <c r="BF9" s="50"/>
      <c r="BG9" s="50"/>
      <c r="BH9" s="50"/>
      <c r="BI9" s="50"/>
      <c r="BJ9" s="50"/>
      <c r="BK9" s="50"/>
      <c r="BL9" s="50"/>
      <c r="BM9" s="50"/>
      <c r="BN9" s="50"/>
      <c r="BO9" s="50"/>
      <c r="BP9" s="50"/>
      <c r="BQ9" s="50"/>
      <c r="BR9" s="50"/>
      <c r="BS9" s="50"/>
      <c r="BT9" s="50"/>
      <c r="BU9" s="50"/>
      <c r="BV9" s="50"/>
      <c r="BW9" s="50"/>
      <c r="BX9" s="50"/>
      <c r="BY9" s="50"/>
      <c r="BZ9" s="50"/>
      <c r="CA9" s="50"/>
      <c r="CB9" s="50"/>
      <c r="CC9" s="50"/>
      <c r="CD9" s="50"/>
      <c r="CE9" s="50"/>
      <c r="CF9" s="50"/>
      <c r="CG9" s="50"/>
      <c r="CH9" s="50"/>
      <c r="CI9" s="50"/>
      <c r="CJ9" s="50"/>
      <c r="CK9" s="50"/>
      <c r="CL9" s="50"/>
      <c r="CM9" s="50"/>
      <c r="CN9" s="50"/>
      <c r="CO9" s="50"/>
      <c r="CP9" s="50"/>
      <c r="CQ9" s="50"/>
      <c r="CR9" s="50"/>
      <c r="CS9" s="50"/>
      <c r="CT9" s="50"/>
      <c r="CU9" s="50"/>
      <c r="CV9" s="50"/>
      <c r="CW9" s="50"/>
      <c r="CX9" s="50"/>
      <c r="CY9" s="50"/>
      <c r="CZ9" s="50"/>
      <c r="DA9" s="50"/>
      <c r="DB9" s="50"/>
      <c r="DC9" s="50"/>
      <c r="DD9" s="50"/>
      <c r="DE9" s="50"/>
      <c r="DF9" s="50"/>
      <c r="DG9" s="50"/>
      <c r="DH9" s="50"/>
      <c r="DI9" s="50"/>
      <c r="DJ9" s="50"/>
      <c r="DK9" s="50"/>
      <c r="DL9" s="50"/>
      <c r="DM9" s="50"/>
      <c r="DN9" s="50"/>
      <c r="DO9" s="50"/>
      <c r="DP9" s="50"/>
      <c r="DQ9" s="50"/>
      <c r="DR9" s="50"/>
      <c r="DS9" s="50"/>
      <c r="DT9" s="50"/>
      <c r="DU9" s="50"/>
      <c r="DV9" s="50"/>
      <c r="DW9" s="50"/>
      <c r="DX9" s="50"/>
      <c r="DY9" s="50"/>
      <c r="DZ9" s="50"/>
      <c r="EA9" s="50"/>
      <c r="EB9" s="50"/>
      <c r="EC9" s="50"/>
      <c r="ED9" s="50"/>
      <c r="EE9" s="50"/>
      <c r="EF9" s="50"/>
      <c r="EG9" s="50"/>
      <c r="EH9" s="50"/>
      <c r="EI9" s="50"/>
      <c r="EJ9" s="50"/>
      <c r="EK9" s="50"/>
      <c r="EL9" s="50"/>
      <c r="EM9" s="50"/>
      <c r="EN9" s="50"/>
      <c r="EO9" s="50"/>
      <c r="EP9" s="50"/>
      <c r="EQ9" s="50"/>
      <c r="ER9" s="50"/>
      <c r="ES9" s="50"/>
      <c r="ET9" s="50"/>
      <c r="EU9" s="50"/>
      <c r="EV9" s="50"/>
      <c r="EW9" s="50"/>
      <c r="EX9" s="50"/>
      <c r="EY9" s="50"/>
      <c r="EZ9" s="50"/>
    </row>
    <row r="10" spans="1:156" s="51" customFormat="1" x14ac:dyDescent="0.15">
      <c r="A10" s="49" t="str">
        <f>Results!A10</f>
        <v>G6@12.asc</v>
      </c>
      <c r="B10" s="50" t="str">
        <f>Results!B10</f>
        <v>/#1/</v>
      </c>
      <c r="C10" s="50">
        <f>Results!C10</f>
        <v>0.68185628501894902</v>
      </c>
      <c r="D10" s="50">
        <f>Results!D10</f>
        <v>1.1906616838202059E-3</v>
      </c>
      <c r="E10" s="50">
        <f>Results!E10</f>
        <v>1</v>
      </c>
      <c r="F10" s="50">
        <f>Results!F10</f>
        <v>0</v>
      </c>
      <c r="G10" s="50">
        <f>Results!I10</f>
        <v>6.7634311706180283E-2</v>
      </c>
      <c r="H10" s="50">
        <f>Results!J10</f>
        <v>1.2028600607447387E-4</v>
      </c>
      <c r="I10" s="50">
        <f>Results!K10</f>
        <v>4.3977243471883309E-2</v>
      </c>
      <c r="J10" s="50">
        <f>Results!L10</f>
        <v>1.0095443177847171E-4</v>
      </c>
      <c r="K10" s="50">
        <f>Results!M10</f>
        <v>94997.912125917836</v>
      </c>
      <c r="L10" s="50">
        <f>Results!N10</f>
        <v>282.72243404241323</v>
      </c>
      <c r="M10" s="50">
        <f>Results!O10</f>
        <v>139322.48826397973</v>
      </c>
      <c r="N10" s="50">
        <f>Results!P10</f>
        <v>266.41907720656769</v>
      </c>
      <c r="O10" s="50">
        <f>Results!Q10</f>
        <v>14056.413625665689</v>
      </c>
      <c r="P10" s="50">
        <f>Results!R10</f>
        <v>53.359343631591663</v>
      </c>
      <c r="Q10" s="50">
        <f>Results!S10</f>
        <v>9425.7920746823092</v>
      </c>
      <c r="R10" s="50">
        <f>Results!T10</f>
        <v>29.427962459816079</v>
      </c>
      <c r="S10" s="50">
        <f>Results!U10</f>
        <v>6129.3280537353448</v>
      </c>
      <c r="T10" s="50">
        <f>Results!V10</f>
        <v>21.569231524794471</v>
      </c>
      <c r="U10" s="50">
        <f>Results!W10</f>
        <v>-318.143714981051</v>
      </c>
      <c r="V10" s="50">
        <f>Results!X10</f>
        <v>1.190661683820206</v>
      </c>
      <c r="W10" s="50">
        <f>Results!Y10</f>
        <v>497703.37123478961</v>
      </c>
      <c r="X10" s="50">
        <f>Results!Z10</f>
        <v>0</v>
      </c>
      <c r="Y10" s="50">
        <f>Results!AA10</f>
        <v>-899.11196145865688</v>
      </c>
      <c r="Z10" s="50">
        <f>Results!AB10</f>
        <v>0.37911070481927295</v>
      </c>
      <c r="AA10" s="50">
        <f>Results!AC10</f>
        <v>32729.459259016701</v>
      </c>
      <c r="AB10" s="50">
        <f>Results!AD10</f>
        <v>59.987036741708494</v>
      </c>
      <c r="AC10" s="50">
        <f>Results!AE10</f>
        <v>-956.0227565281167</v>
      </c>
      <c r="AD10" s="50">
        <f>Results!AF10</f>
        <v>0.10095443177847171</v>
      </c>
      <c r="AE10" s="50">
        <f>Results!AG10</f>
        <v>2.8463727796038336</v>
      </c>
      <c r="AF10" s="50">
        <f>Results!AH10</f>
        <v>0</v>
      </c>
      <c r="AG10" s="50">
        <f>Results!AI10</f>
        <v>2.9122260930827486</v>
      </c>
      <c r="AH10" s="50">
        <f>Results!AJ10</f>
        <v>1.1461072210737548</v>
      </c>
      <c r="AI10" s="50">
        <f>Results!AK10</f>
        <v>1.2063921737293819</v>
      </c>
      <c r="AJ10" s="50">
        <f>Results!AL10</f>
        <v>0</v>
      </c>
      <c r="AK10" s="50"/>
      <c r="AL10" s="50"/>
      <c r="AM10" s="50"/>
      <c r="AN10" s="50"/>
      <c r="AO10" s="50"/>
      <c r="AP10" s="50"/>
      <c r="AQ10" s="50"/>
      <c r="AR10" s="50"/>
      <c r="AS10" s="50"/>
      <c r="AT10" s="50"/>
      <c r="AU10" s="50"/>
      <c r="AV10" s="50"/>
      <c r="AW10" s="50"/>
      <c r="AX10" s="50"/>
      <c r="AY10" s="50"/>
      <c r="AZ10" s="50"/>
      <c r="BA10" s="50"/>
      <c r="BB10" s="50"/>
      <c r="BC10" s="50"/>
      <c r="BD10" s="50"/>
      <c r="BE10" s="50"/>
      <c r="BF10" s="50"/>
      <c r="BG10" s="50"/>
      <c r="BH10" s="50"/>
      <c r="BI10" s="50"/>
      <c r="BJ10" s="50"/>
      <c r="BK10" s="50"/>
      <c r="BL10" s="50"/>
      <c r="BM10" s="50"/>
      <c r="BN10" s="50"/>
      <c r="BO10" s="50"/>
      <c r="BP10" s="50"/>
      <c r="BQ10" s="50"/>
      <c r="BR10" s="50"/>
      <c r="BS10" s="50"/>
      <c r="BT10" s="50"/>
      <c r="BU10" s="50"/>
      <c r="BV10" s="50"/>
      <c r="BW10" s="50"/>
      <c r="BX10" s="50"/>
      <c r="BY10" s="50"/>
      <c r="BZ10" s="50"/>
      <c r="CA10" s="50"/>
      <c r="CB10" s="50"/>
      <c r="CC10" s="50"/>
      <c r="CD10" s="50"/>
      <c r="CE10" s="50"/>
      <c r="CF10" s="50"/>
      <c r="CG10" s="50"/>
      <c r="CH10" s="50"/>
      <c r="CI10" s="50"/>
      <c r="CJ10" s="50"/>
      <c r="CK10" s="50"/>
      <c r="CL10" s="50"/>
      <c r="CM10" s="50"/>
      <c r="CN10" s="50"/>
      <c r="CO10" s="50"/>
      <c r="CP10" s="50"/>
      <c r="CQ10" s="50"/>
      <c r="CR10" s="50"/>
      <c r="CS10" s="50"/>
      <c r="CT10" s="50"/>
      <c r="CU10" s="50"/>
      <c r="CV10" s="50"/>
      <c r="CW10" s="50"/>
      <c r="CX10" s="50"/>
      <c r="CY10" s="50"/>
      <c r="CZ10" s="50"/>
      <c r="DA10" s="50"/>
      <c r="DB10" s="50"/>
      <c r="DC10" s="50"/>
      <c r="DD10" s="50"/>
      <c r="DE10" s="50"/>
      <c r="DF10" s="50"/>
      <c r="DG10" s="50"/>
      <c r="DH10" s="50"/>
      <c r="DI10" s="50"/>
      <c r="DJ10" s="50"/>
      <c r="DK10" s="50"/>
      <c r="DL10" s="50"/>
      <c r="DM10" s="50"/>
      <c r="DN10" s="50"/>
      <c r="DO10" s="50"/>
      <c r="DP10" s="50"/>
      <c r="DQ10" s="50"/>
      <c r="DR10" s="50"/>
      <c r="DS10" s="50"/>
      <c r="DT10" s="50"/>
      <c r="DU10" s="50"/>
      <c r="DV10" s="50"/>
      <c r="DW10" s="50"/>
      <c r="DX10" s="50"/>
      <c r="DY10" s="50"/>
      <c r="DZ10" s="50"/>
      <c r="EA10" s="50"/>
      <c r="EB10" s="50"/>
      <c r="EC10" s="50"/>
      <c r="ED10" s="50"/>
      <c r="EE10" s="50"/>
      <c r="EF10" s="50"/>
      <c r="EG10" s="50"/>
      <c r="EH10" s="50"/>
      <c r="EI10" s="50"/>
      <c r="EJ10" s="50"/>
      <c r="EK10" s="50"/>
      <c r="EL10" s="50"/>
      <c r="EM10" s="50"/>
      <c r="EN10" s="50"/>
      <c r="EO10" s="50"/>
      <c r="EP10" s="50"/>
      <c r="EQ10" s="50"/>
      <c r="ER10" s="50"/>
      <c r="ES10" s="50"/>
      <c r="ET10" s="50"/>
      <c r="EU10" s="50"/>
      <c r="EV10" s="50"/>
      <c r="EW10" s="50"/>
      <c r="EX10" s="50"/>
      <c r="EY10" s="50"/>
      <c r="EZ10" s="50"/>
    </row>
    <row r="11" spans="1:156" x14ac:dyDescent="0.15">
      <c r="A11" s="39" t="str">
        <f>Results!A11</f>
        <v>G6@11.asc</v>
      </c>
      <c r="B11" s="35" t="str">
        <f>Results!B11</f>
        <v>/#1/</v>
      </c>
      <c r="C11" s="35">
        <f>Results!C11</f>
        <v>0.65597085926865728</v>
      </c>
      <c r="D11" s="35">
        <f>Results!D11</f>
        <v>1.0889562488087172E-3</v>
      </c>
      <c r="E11" s="35">
        <f>Results!E11</f>
        <v>1</v>
      </c>
      <c r="F11" s="35">
        <f>Results!F11</f>
        <v>0</v>
      </c>
      <c r="G11" s="35">
        <f>Results!I11</f>
        <v>6.6965254443134684E-2</v>
      </c>
      <c r="H11" s="35">
        <f>Results!J11</f>
        <v>1.3294466114158863E-4</v>
      </c>
      <c r="I11" s="35">
        <f>Results!K11</f>
        <v>4.3523946451374439E-2</v>
      </c>
      <c r="J11" s="35">
        <f>Results!L11</f>
        <v>9.5685893159818785E-5</v>
      </c>
      <c r="K11" s="35">
        <f>Results!M11</f>
        <v>91304.539925944293</v>
      </c>
      <c r="L11" s="35">
        <f>Results!N11</f>
        <v>270.26397363131775</v>
      </c>
      <c r="M11" s="35">
        <f>Results!O11</f>
        <v>139195.41559686931</v>
      </c>
      <c r="N11" s="35">
        <f>Results!P11</f>
        <v>255.55141418603202</v>
      </c>
      <c r="O11" s="35">
        <f>Results!Q11</f>
        <v>13758.384890533733</v>
      </c>
      <c r="P11" s="35">
        <f>Results!R11</f>
        <v>63.896884543122091</v>
      </c>
      <c r="Q11" s="35">
        <f>Results!S11</f>
        <v>9324.3056079093894</v>
      </c>
      <c r="R11" s="35">
        <f>Results!T11</f>
        <v>29.21814579805082</v>
      </c>
      <c r="S11" s="35">
        <f>Results!U11</f>
        <v>6060.6593563771376</v>
      </c>
      <c r="T11" s="35">
        <f>Results!V11</f>
        <v>18.927345182766608</v>
      </c>
      <c r="U11" s="35">
        <f>Results!W11</f>
        <v>-344.02914073134269</v>
      </c>
      <c r="V11" s="35">
        <f>Results!X11</f>
        <v>1.0889562488087172</v>
      </c>
      <c r="W11" s="35">
        <f>Results!Y11</f>
        <v>497703.37123478961</v>
      </c>
      <c r="X11" s="35">
        <f>Results!Z11</f>
        <v>0</v>
      </c>
      <c r="Y11" s="35">
        <f>Results!AA11</f>
        <v>-901.16733784053156</v>
      </c>
      <c r="Z11" s="35">
        <f>Results!AB11</f>
        <v>0.43842229464989868</v>
      </c>
      <c r="AA11" s="35">
        <f>Results!AC11</f>
        <v>32395.79814638674</v>
      </c>
      <c r="AB11" s="35">
        <f>Results!AD11</f>
        <v>66.299950698976971</v>
      </c>
      <c r="AC11" s="35">
        <f>Results!AE11</f>
        <v>-956.47605354862549</v>
      </c>
      <c r="AD11" s="35">
        <f>Results!AF11</f>
        <v>9.5685893159818791E-2</v>
      </c>
      <c r="AE11" s="35">
        <f>Results!AG11</f>
        <v>2.6735158945054036</v>
      </c>
      <c r="AF11" s="35">
        <f>Results!AH11</f>
        <v>0</v>
      </c>
      <c r="AG11" s="35">
        <f>Results!AI11</f>
        <v>3.4044099465890638</v>
      </c>
      <c r="AH11" s="35">
        <f>Results!AJ11</f>
        <v>1.2728689354135301</v>
      </c>
      <c r="AI11" s="35">
        <f>Results!AK11</f>
        <v>1.1491019334795283</v>
      </c>
      <c r="AJ11" s="35">
        <f>Results!AL11</f>
        <v>0</v>
      </c>
      <c r="AK11" s="35"/>
      <c r="AL11" s="35"/>
      <c r="AM11" s="35"/>
      <c r="AN11" s="35"/>
      <c r="AO11" s="35"/>
      <c r="AP11" s="35"/>
      <c r="AQ11" s="35"/>
      <c r="AR11" s="35"/>
      <c r="AS11" s="35"/>
      <c r="AT11" s="35"/>
      <c r="AU11" s="35"/>
      <c r="AV11" s="35"/>
      <c r="AW11" s="35"/>
      <c r="AX11" s="35"/>
      <c r="AY11" s="35"/>
      <c r="AZ11" s="35"/>
      <c r="BA11" s="35"/>
      <c r="BB11" s="35"/>
      <c r="BC11" s="35"/>
      <c r="BD11" s="35"/>
      <c r="BE11" s="35"/>
      <c r="BF11" s="35"/>
      <c r="BG11" s="35"/>
      <c r="BH11" s="35"/>
      <c r="BI11" s="35"/>
      <c r="BJ11" s="35"/>
      <c r="BK11" s="35"/>
      <c r="BL11" s="35"/>
      <c r="BM11" s="35"/>
      <c r="BN11" s="35"/>
      <c r="BO11" s="35"/>
      <c r="BP11" s="35"/>
      <c r="BQ11" s="35"/>
      <c r="BR11" s="35"/>
      <c r="BS11" s="35"/>
      <c r="BT11" s="35"/>
      <c r="BU11" s="35"/>
      <c r="BV11" s="35"/>
      <c r="BW11" s="35"/>
      <c r="BX11" s="35"/>
      <c r="BY11" s="35"/>
      <c r="BZ11" s="35"/>
      <c r="CA11" s="35"/>
      <c r="CB11" s="35"/>
      <c r="CC11" s="35"/>
      <c r="CD11" s="35"/>
      <c r="CE11" s="35"/>
      <c r="CF11" s="35"/>
      <c r="CG11" s="35"/>
      <c r="CH11" s="35"/>
      <c r="CI11" s="35"/>
      <c r="CJ11" s="35"/>
      <c r="CK11" s="35"/>
      <c r="CL11" s="35"/>
      <c r="CM11" s="35"/>
      <c r="CN11" s="35"/>
      <c r="CO11" s="35"/>
      <c r="CP11" s="35"/>
      <c r="CQ11" s="35"/>
      <c r="CR11" s="35"/>
      <c r="CS11" s="35"/>
      <c r="CT11" s="35"/>
      <c r="CU11" s="35"/>
      <c r="CV11" s="35"/>
      <c r="CW11" s="35"/>
      <c r="CX11" s="35"/>
      <c r="CY11" s="35"/>
      <c r="CZ11" s="35"/>
      <c r="DA11" s="35"/>
      <c r="DB11" s="35"/>
      <c r="DC11" s="35"/>
      <c r="DD11" s="35"/>
      <c r="DE11" s="35"/>
      <c r="DF11" s="35"/>
      <c r="DG11" s="35"/>
      <c r="DH11" s="35"/>
      <c r="DI11" s="35"/>
      <c r="DJ11" s="35"/>
      <c r="DK11" s="35"/>
      <c r="DL11" s="35"/>
      <c r="DM11" s="35"/>
      <c r="DN11" s="35"/>
      <c r="DO11" s="35"/>
      <c r="DP11" s="35"/>
      <c r="DQ11" s="35"/>
      <c r="DR11" s="35"/>
      <c r="DS11" s="35"/>
      <c r="DT11" s="35"/>
      <c r="DU11" s="35"/>
      <c r="DV11" s="35"/>
      <c r="DW11" s="35"/>
      <c r="DX11" s="35"/>
      <c r="DY11" s="35"/>
      <c r="DZ11" s="35"/>
      <c r="EA11" s="35"/>
      <c r="EB11" s="35"/>
      <c r="EC11" s="35"/>
      <c r="ED11" s="35"/>
      <c r="EE11" s="35"/>
      <c r="EF11" s="35"/>
      <c r="EG11" s="35"/>
      <c r="EH11" s="35"/>
      <c r="EI11" s="35"/>
      <c r="EJ11" s="35"/>
      <c r="EK11" s="35"/>
      <c r="EL11" s="35"/>
      <c r="EM11" s="35"/>
      <c r="EN11" s="35"/>
      <c r="EO11" s="35"/>
      <c r="EP11" s="35"/>
      <c r="EQ11" s="35"/>
      <c r="ER11" s="35"/>
      <c r="ES11" s="35"/>
      <c r="ET11" s="35"/>
      <c r="EU11" s="35"/>
      <c r="EV11" s="35"/>
      <c r="EW11" s="35"/>
      <c r="EX11" s="35"/>
      <c r="EY11" s="35"/>
      <c r="EZ11" s="35"/>
    </row>
    <row r="12" spans="1:156" x14ac:dyDescent="0.15">
      <c r="A12" s="39" t="str">
        <f>Results!A12</f>
        <v>G6@1a.asc</v>
      </c>
      <c r="B12" s="35" t="str">
        <f>Results!B12</f>
        <v>/#1/</v>
      </c>
      <c r="C12" s="35">
        <f>Results!C12</f>
        <v>0.75929491808996674</v>
      </c>
      <c r="D12" s="35">
        <f>Results!D12</f>
        <v>1.373421929281882E-3</v>
      </c>
      <c r="E12" s="35">
        <f>Results!E12</f>
        <v>1</v>
      </c>
      <c r="F12" s="35">
        <f>Results!F12</f>
        <v>0</v>
      </c>
      <c r="G12" s="35">
        <f>Results!I12</f>
        <v>6.5833522430861824E-2</v>
      </c>
      <c r="H12" s="35">
        <f>Results!J12</f>
        <v>1.1341925254626205E-4</v>
      </c>
      <c r="I12" s="35">
        <f>Results!K12</f>
        <v>4.2765684896547085E-2</v>
      </c>
      <c r="J12" s="35">
        <f>Results!L12</f>
        <v>8.1499771699928677E-5</v>
      </c>
      <c r="K12" s="35">
        <f>Results!M12</f>
        <v>110346.76968314417</v>
      </c>
      <c r="L12" s="35">
        <f>Results!N12</f>
        <v>345.20903831947652</v>
      </c>
      <c r="M12" s="35">
        <f>Results!O12</f>
        <v>145329.18516927827</v>
      </c>
      <c r="N12" s="35">
        <f>Results!P12</f>
        <v>271.74674000346062</v>
      </c>
      <c r="O12" s="35">
        <f>Results!Q12</f>
        <v>15430.517903556731</v>
      </c>
      <c r="P12" s="35">
        <f>Results!R12</f>
        <v>60.161388482357829</v>
      </c>
      <c r="Q12" s="35">
        <f>Results!S12</f>
        <v>9572.0121301648196</v>
      </c>
      <c r="R12" s="35">
        <f>Results!T12</f>
        <v>29.990475758007797</v>
      </c>
      <c r="S12" s="35">
        <f>Results!U12</f>
        <v>6218.5678497373619</v>
      </c>
      <c r="T12" s="35">
        <f>Results!V12</f>
        <v>19.112192610494645</v>
      </c>
      <c r="U12" s="35">
        <f>Results!W12</f>
        <v>-240.70508191003327</v>
      </c>
      <c r="V12" s="35">
        <f>Results!X12</f>
        <v>1.3734219292818821</v>
      </c>
      <c r="W12" s="35">
        <f>Results!Y12</f>
        <v>497703.37123478961</v>
      </c>
      <c r="X12" s="35">
        <f>Results!Z12</f>
        <v>0</v>
      </c>
      <c r="Y12" s="35">
        <f>Results!AA12</f>
        <v>-893.84458756637298</v>
      </c>
      <c r="Z12" s="35">
        <f>Results!AB12</f>
        <v>0.36149611462971704</v>
      </c>
      <c r="AA12" s="35">
        <f>Results!AC12</f>
        <v>31831.399576531931</v>
      </c>
      <c r="AB12" s="35">
        <f>Results!AD12</f>
        <v>56.562563607750874</v>
      </c>
      <c r="AC12" s="35">
        <f>Results!AE12</f>
        <v>-957.2343151034529</v>
      </c>
      <c r="AD12" s="35">
        <f>Results!AF12</f>
        <v>8.1499771699928683E-2</v>
      </c>
      <c r="AE12" s="35">
        <f>Results!AG12</f>
        <v>3.106979793732207</v>
      </c>
      <c r="AF12" s="35">
        <f>Results!AH12</f>
        <v>0</v>
      </c>
      <c r="AG12" s="35">
        <f>Results!AI12</f>
        <v>2.7585014805616961</v>
      </c>
      <c r="AH12" s="35">
        <f>Results!AJ12</f>
        <v>1.1197575434678941</v>
      </c>
      <c r="AI12" s="35">
        <f>Results!AK12</f>
        <v>1.0093492720650805</v>
      </c>
      <c r="AJ12" s="35">
        <f>Results!AL12</f>
        <v>0</v>
      </c>
      <c r="AK12" s="35"/>
      <c r="AL12" s="35"/>
      <c r="AM12" s="35"/>
      <c r="AN12" s="35"/>
      <c r="AO12" s="35"/>
      <c r="AP12" s="35"/>
      <c r="AQ12" s="35"/>
      <c r="AR12" s="35"/>
      <c r="AS12" s="35"/>
      <c r="AT12" s="35"/>
      <c r="AU12" s="35"/>
      <c r="AV12" s="35"/>
      <c r="AW12" s="35"/>
      <c r="AX12" s="35"/>
      <c r="AY12" s="35"/>
      <c r="AZ12" s="35"/>
      <c r="BA12" s="35"/>
      <c r="BB12" s="35"/>
      <c r="BC12" s="35"/>
      <c r="BD12" s="35"/>
      <c r="BE12" s="35"/>
      <c r="BF12" s="35"/>
      <c r="BG12" s="35"/>
      <c r="BH12" s="35"/>
      <c r="BI12" s="35"/>
      <c r="BJ12" s="35"/>
      <c r="BK12" s="35"/>
      <c r="BL12" s="35"/>
      <c r="BM12" s="35"/>
      <c r="BN12" s="35"/>
      <c r="BO12" s="35"/>
      <c r="BP12" s="35"/>
      <c r="BQ12" s="35"/>
      <c r="BR12" s="35"/>
      <c r="BS12" s="35"/>
      <c r="BT12" s="35"/>
      <c r="BU12" s="35"/>
      <c r="BV12" s="35"/>
      <c r="BW12" s="35"/>
      <c r="BX12" s="35"/>
      <c r="BY12" s="35"/>
      <c r="BZ12" s="35"/>
      <c r="CA12" s="35"/>
      <c r="CB12" s="35"/>
      <c r="CC12" s="35"/>
      <c r="CD12" s="35"/>
      <c r="CE12" s="35"/>
      <c r="CF12" s="35"/>
      <c r="CG12" s="35"/>
      <c r="CH12" s="35"/>
      <c r="CI12" s="35"/>
      <c r="CJ12" s="35"/>
      <c r="CK12" s="35"/>
      <c r="CL12" s="35"/>
      <c r="CM12" s="35"/>
      <c r="CN12" s="35"/>
      <c r="CO12" s="35"/>
      <c r="CP12" s="35"/>
      <c r="CQ12" s="35"/>
      <c r="CR12" s="35"/>
      <c r="CS12" s="35"/>
      <c r="CT12" s="35"/>
      <c r="CU12" s="35"/>
      <c r="CV12" s="35"/>
      <c r="CW12" s="35"/>
      <c r="CX12" s="35"/>
      <c r="CY12" s="35"/>
      <c r="CZ12" s="35"/>
      <c r="DA12" s="35"/>
      <c r="DB12" s="35"/>
      <c r="DC12" s="35"/>
      <c r="DD12" s="35"/>
      <c r="DE12" s="35"/>
      <c r="DF12" s="35"/>
      <c r="DG12" s="35"/>
      <c r="DH12" s="35"/>
      <c r="DI12" s="35"/>
      <c r="DJ12" s="35"/>
      <c r="DK12" s="35"/>
      <c r="DL12" s="35"/>
      <c r="DM12" s="35"/>
      <c r="DN12" s="35"/>
      <c r="DO12" s="35"/>
      <c r="DP12" s="35"/>
      <c r="DQ12" s="35"/>
      <c r="DR12" s="35"/>
      <c r="DS12" s="35"/>
      <c r="DT12" s="35"/>
      <c r="DU12" s="35"/>
      <c r="DV12" s="35"/>
      <c r="DW12" s="35"/>
      <c r="DX12" s="35"/>
      <c r="DY12" s="35"/>
      <c r="DZ12" s="35"/>
      <c r="EA12" s="35"/>
      <c r="EB12" s="35"/>
      <c r="EC12" s="35"/>
      <c r="ED12" s="35"/>
      <c r="EE12" s="35"/>
      <c r="EF12" s="35"/>
      <c r="EG12" s="35"/>
      <c r="EH12" s="35"/>
      <c r="EI12" s="35"/>
      <c r="EJ12" s="35"/>
      <c r="EK12" s="35"/>
      <c r="EL12" s="35"/>
      <c r="EM12" s="35"/>
      <c r="EN12" s="35"/>
      <c r="EO12" s="35"/>
      <c r="EP12" s="35"/>
      <c r="EQ12" s="35"/>
      <c r="ER12" s="35"/>
      <c r="ES12" s="35"/>
      <c r="ET12" s="35"/>
      <c r="EU12" s="35"/>
      <c r="EV12" s="35"/>
      <c r="EW12" s="35"/>
      <c r="EX12" s="35"/>
      <c r="EY12" s="35"/>
      <c r="EZ12" s="35"/>
    </row>
    <row r="13" spans="1:156" s="51" customFormat="1" x14ac:dyDescent="0.15">
      <c r="A13" s="49" t="str">
        <f>Results!A13</f>
        <v>G6@2a.asc</v>
      </c>
      <c r="B13" s="50" t="str">
        <f>Results!B13</f>
        <v>/#1/</v>
      </c>
      <c r="C13" s="50">
        <f>Results!C13</f>
        <v>0.65130378080003781</v>
      </c>
      <c r="D13" s="50">
        <f>Results!D13</f>
        <v>1.0020779788272849E-3</v>
      </c>
      <c r="E13" s="50">
        <f>Results!E13</f>
        <v>1</v>
      </c>
      <c r="F13" s="50">
        <f>Results!F13</f>
        <v>0</v>
      </c>
      <c r="G13" s="50">
        <f>Results!I13</f>
        <v>6.3301666659318606E-2</v>
      </c>
      <c r="H13" s="50">
        <f>Results!J13</f>
        <v>1.1693075550966589E-4</v>
      </c>
      <c r="I13" s="50">
        <f>Results!K13</f>
        <v>4.0878788616731429E-2</v>
      </c>
      <c r="J13" s="50">
        <f>Results!L13</f>
        <v>7.4891543001414705E-5</v>
      </c>
      <c r="K13" s="50">
        <f>Results!M13</f>
        <v>95398.382923400262</v>
      </c>
      <c r="L13" s="50">
        <f>Results!N13</f>
        <v>247.06922213918659</v>
      </c>
      <c r="M13" s="50">
        <f>Results!O13</f>
        <v>146481.31070708195</v>
      </c>
      <c r="N13" s="50">
        <f>Results!P13</f>
        <v>276.34435895319547</v>
      </c>
      <c r="O13" s="50">
        <f>Results!Q13</f>
        <v>13765.515996221307</v>
      </c>
      <c r="P13" s="50">
        <f>Results!R13</f>
        <v>59.864268458544267</v>
      </c>
      <c r="Q13" s="50">
        <f>Results!S13</f>
        <v>9275.7225877389064</v>
      </c>
      <c r="R13" s="50">
        <f>Results!T13</f>
        <v>27.499751952898805</v>
      </c>
      <c r="S13" s="50">
        <f>Results!U13</f>
        <v>5990.5446077790239</v>
      </c>
      <c r="T13" s="50">
        <f>Results!V13</f>
        <v>17.425082302587455</v>
      </c>
      <c r="U13" s="50">
        <f>Results!W13</f>
        <v>-348.69621919996217</v>
      </c>
      <c r="V13" s="50">
        <f>Results!X13</f>
        <v>1.0020779788272849</v>
      </c>
      <c r="W13" s="50">
        <f>Results!Y13</f>
        <v>497703.37123478961</v>
      </c>
      <c r="X13" s="50">
        <f>Results!Z13</f>
        <v>0</v>
      </c>
      <c r="Y13" s="50">
        <f>Results!AA13</f>
        <v>-906.02310040527368</v>
      </c>
      <c r="Z13" s="50">
        <f>Results!AB13</f>
        <v>0.44761068918290414</v>
      </c>
      <c r="AA13" s="50">
        <f>Results!AC13</f>
        <v>30568.754567783068</v>
      </c>
      <c r="AB13" s="50">
        <f>Results!AD13</f>
        <v>58.313761973701318</v>
      </c>
      <c r="AC13" s="50">
        <f>Results!AE13</f>
        <v>-959.12121138326859</v>
      </c>
      <c r="AD13" s="50">
        <f>Results!AF13</f>
        <v>7.4891543001414707E-2</v>
      </c>
      <c r="AE13" s="50">
        <f>Results!AG13</f>
        <v>2.5363751292282126</v>
      </c>
      <c r="AF13" s="50">
        <f>Results!AH13</f>
        <v>0</v>
      </c>
      <c r="AG13" s="50">
        <f>Results!AI13</f>
        <v>3.6644232498902691</v>
      </c>
      <c r="AH13" s="50">
        <f>Results!AJ13</f>
        <v>1.1832824378395692</v>
      </c>
      <c r="AI13" s="50">
        <f>Results!AK13</f>
        <v>0.95323029599779363</v>
      </c>
      <c r="AJ13" s="50">
        <f>Results!AL13</f>
        <v>0</v>
      </c>
      <c r="AK13" s="50"/>
      <c r="AL13" s="50"/>
      <c r="AM13" s="50"/>
      <c r="AN13" s="50"/>
      <c r="AO13" s="50"/>
      <c r="AP13" s="50"/>
      <c r="AQ13" s="50"/>
      <c r="AR13" s="50"/>
      <c r="AS13" s="50"/>
      <c r="AT13" s="50"/>
      <c r="AU13" s="50"/>
      <c r="AV13" s="50"/>
      <c r="AW13" s="50"/>
      <c r="AX13" s="50"/>
      <c r="AY13" s="50"/>
      <c r="AZ13" s="50"/>
      <c r="BA13" s="50"/>
      <c r="BB13" s="50"/>
      <c r="BC13" s="50"/>
      <c r="BD13" s="50"/>
      <c r="BE13" s="50"/>
      <c r="BF13" s="50"/>
      <c r="BG13" s="50"/>
      <c r="BH13" s="50"/>
      <c r="BI13" s="50"/>
      <c r="BJ13" s="50"/>
      <c r="BK13" s="50"/>
      <c r="BL13" s="50"/>
      <c r="BM13" s="50"/>
      <c r="BN13" s="50"/>
      <c r="BO13" s="50"/>
      <c r="BP13" s="50"/>
      <c r="BQ13" s="50"/>
      <c r="BR13" s="50"/>
      <c r="BS13" s="50"/>
      <c r="BT13" s="50"/>
      <c r="BU13" s="50"/>
      <c r="BV13" s="50"/>
      <c r="BW13" s="50"/>
      <c r="BX13" s="50"/>
      <c r="BY13" s="50"/>
      <c r="BZ13" s="50"/>
      <c r="CA13" s="50"/>
      <c r="CB13" s="50"/>
      <c r="CC13" s="50"/>
      <c r="CD13" s="50"/>
      <c r="CE13" s="50"/>
      <c r="CF13" s="50"/>
      <c r="CG13" s="50"/>
      <c r="CH13" s="50"/>
      <c r="CI13" s="50"/>
      <c r="CJ13" s="50"/>
      <c r="CK13" s="50"/>
      <c r="CL13" s="50"/>
      <c r="CM13" s="50"/>
      <c r="CN13" s="50"/>
      <c r="CO13" s="50"/>
      <c r="CP13" s="50"/>
      <c r="CQ13" s="50"/>
      <c r="CR13" s="50"/>
      <c r="CS13" s="50"/>
      <c r="CT13" s="50"/>
      <c r="CU13" s="50"/>
      <c r="CV13" s="50"/>
      <c r="CW13" s="50"/>
      <c r="CX13" s="50"/>
      <c r="CY13" s="50"/>
      <c r="CZ13" s="50"/>
      <c r="DA13" s="50"/>
      <c r="DB13" s="50"/>
      <c r="DC13" s="50"/>
      <c r="DD13" s="50"/>
      <c r="DE13" s="50"/>
      <c r="DF13" s="50"/>
      <c r="DG13" s="50"/>
      <c r="DH13" s="50"/>
      <c r="DI13" s="50"/>
      <c r="DJ13" s="50"/>
      <c r="DK13" s="50"/>
      <c r="DL13" s="50"/>
      <c r="DM13" s="50"/>
      <c r="DN13" s="50"/>
      <c r="DO13" s="50"/>
      <c r="DP13" s="50"/>
      <c r="DQ13" s="50"/>
      <c r="DR13" s="50"/>
      <c r="DS13" s="50"/>
      <c r="DT13" s="50"/>
      <c r="DU13" s="50"/>
      <c r="DV13" s="50"/>
      <c r="DW13" s="50"/>
      <c r="DX13" s="50"/>
      <c r="DY13" s="50"/>
      <c r="DZ13" s="50"/>
      <c r="EA13" s="50"/>
      <c r="EB13" s="50"/>
      <c r="EC13" s="50"/>
      <c r="ED13" s="50"/>
      <c r="EE13" s="50"/>
      <c r="EF13" s="50"/>
      <c r="EG13" s="50"/>
      <c r="EH13" s="50"/>
      <c r="EI13" s="50"/>
      <c r="EJ13" s="50"/>
      <c r="EK13" s="50"/>
      <c r="EL13" s="50"/>
      <c r="EM13" s="50"/>
      <c r="EN13" s="50"/>
      <c r="EO13" s="50"/>
      <c r="EP13" s="50"/>
      <c r="EQ13" s="50"/>
      <c r="ER13" s="50"/>
      <c r="ES13" s="50"/>
      <c r="ET13" s="50"/>
      <c r="EU13" s="50"/>
      <c r="EV13" s="50"/>
      <c r="EW13" s="50"/>
      <c r="EX13" s="50"/>
      <c r="EY13" s="50"/>
      <c r="EZ13" s="50"/>
    </row>
    <row r="14" spans="1:156" s="51" customFormat="1" x14ac:dyDescent="0.15">
      <c r="A14" s="49" t="str">
        <f>Results!A14</f>
        <v>G6@8a.asc</v>
      </c>
      <c r="B14" s="50" t="str">
        <f>Results!B14</f>
        <v>/#1/</v>
      </c>
      <c r="C14" s="50">
        <f>Results!C14</f>
        <v>0.66404965142052963</v>
      </c>
      <c r="D14" s="50">
        <f>Results!D14</f>
        <v>1.3100760357032573E-3</v>
      </c>
      <c r="E14" s="50">
        <f>Results!E14</f>
        <v>1</v>
      </c>
      <c r="F14" s="50">
        <f>Results!F14</f>
        <v>0</v>
      </c>
      <c r="G14" s="50">
        <f>Results!I14</f>
        <v>6.4224020811740917E-2</v>
      </c>
      <c r="H14" s="50">
        <f>Results!J14</f>
        <v>1.2141252964460077E-4</v>
      </c>
      <c r="I14" s="50">
        <f>Results!K14</f>
        <v>4.1817199683558542E-2</v>
      </c>
      <c r="J14" s="50">
        <f>Results!L14</f>
        <v>6.3098430562416773E-5</v>
      </c>
      <c r="K14" s="50">
        <f>Results!M14</f>
        <v>96516.090432106663</v>
      </c>
      <c r="L14" s="50">
        <f>Results!N14</f>
        <v>265.21518966233867</v>
      </c>
      <c r="M14" s="50">
        <f>Results!O14</f>
        <v>145347.37998499328</v>
      </c>
      <c r="N14" s="50">
        <f>Results!P14</f>
        <v>247.29577937941167</v>
      </c>
      <c r="O14" s="50">
        <f>Results!Q14</f>
        <v>13933.948374708307</v>
      </c>
      <c r="P14" s="50">
        <f>Results!R14</f>
        <v>59.230642376362589</v>
      </c>
      <c r="Q14" s="50">
        <f>Results!S14</f>
        <v>9337.5204631000852</v>
      </c>
      <c r="R14" s="50">
        <f>Results!T14</f>
        <v>27.093736686707313</v>
      </c>
      <c r="S14" s="50">
        <f>Results!U14</f>
        <v>6079.995705605711</v>
      </c>
      <c r="T14" s="50">
        <f>Results!V14</f>
        <v>14.430080828004233</v>
      </c>
      <c r="U14" s="50">
        <f>Results!W14</f>
        <v>-335.95034857947036</v>
      </c>
      <c r="V14" s="50">
        <f>Results!X14</f>
        <v>1.3100760357032573</v>
      </c>
      <c r="W14" s="50">
        <f>Results!Y14</f>
        <v>497703.37123478961</v>
      </c>
      <c r="X14" s="50">
        <f>Results!Z14</f>
        <v>0</v>
      </c>
      <c r="Y14" s="50">
        <f>Results!AA14</f>
        <v>-904.13977979291451</v>
      </c>
      <c r="Z14" s="50">
        <f>Results!AB14</f>
        <v>0.4016881860228621</v>
      </c>
      <c r="AA14" s="50">
        <f>Results!AC14</f>
        <v>31028.735693068484</v>
      </c>
      <c r="AB14" s="50">
        <f>Results!AD14</f>
        <v>60.548837843906227</v>
      </c>
      <c r="AC14" s="50">
        <f>Results!AE14</f>
        <v>-958.18280031644144</v>
      </c>
      <c r="AD14" s="50">
        <f>Results!AF14</f>
        <v>6.3098430562416777E-2</v>
      </c>
      <c r="AE14" s="50">
        <f>Results!AG14</f>
        <v>3.2587266367115069</v>
      </c>
      <c r="AF14" s="50">
        <f>Results!AH14</f>
        <v>0</v>
      </c>
      <c r="AG14" s="50">
        <f>Results!AI14</f>
        <v>3.2407278482047892</v>
      </c>
      <c r="AH14" s="50">
        <f>Results!AJ14</f>
        <v>1.2144932315775974</v>
      </c>
      <c r="AI14" s="50">
        <f>Results!AK14</f>
        <v>0.79058816599826687</v>
      </c>
      <c r="AJ14" s="50">
        <f>Results!AL14</f>
        <v>0</v>
      </c>
      <c r="AK14" s="50"/>
      <c r="AL14" s="50"/>
      <c r="AM14" s="50"/>
      <c r="AN14" s="50"/>
      <c r="AO14" s="50"/>
      <c r="AP14" s="50"/>
      <c r="AQ14" s="50"/>
      <c r="AR14" s="50"/>
      <c r="AS14" s="50"/>
      <c r="AT14" s="50"/>
      <c r="AU14" s="50"/>
      <c r="AV14" s="50"/>
      <c r="AW14" s="50"/>
      <c r="AX14" s="50"/>
      <c r="AY14" s="50"/>
      <c r="AZ14" s="50"/>
      <c r="BA14" s="50"/>
      <c r="BB14" s="50"/>
      <c r="BC14" s="50"/>
      <c r="BD14" s="50"/>
      <c r="BE14" s="50"/>
      <c r="BF14" s="50"/>
      <c r="BG14" s="50"/>
      <c r="BH14" s="50"/>
      <c r="BI14" s="50"/>
      <c r="BJ14" s="50"/>
      <c r="BK14" s="50"/>
      <c r="BL14" s="50"/>
      <c r="BM14" s="50"/>
      <c r="BN14" s="50"/>
      <c r="BO14" s="50"/>
      <c r="BP14" s="50"/>
      <c r="BQ14" s="50"/>
      <c r="BR14" s="50"/>
      <c r="BS14" s="50"/>
      <c r="BT14" s="50"/>
      <c r="BU14" s="50"/>
      <c r="BV14" s="50"/>
      <c r="BW14" s="50"/>
      <c r="BX14" s="50"/>
      <c r="BY14" s="50"/>
      <c r="BZ14" s="50"/>
      <c r="CA14" s="50"/>
      <c r="CB14" s="50"/>
      <c r="CC14" s="50"/>
      <c r="CD14" s="50"/>
      <c r="CE14" s="50"/>
      <c r="CF14" s="50"/>
      <c r="CG14" s="50"/>
      <c r="CH14" s="50"/>
      <c r="CI14" s="50"/>
      <c r="CJ14" s="50"/>
      <c r="CK14" s="50"/>
      <c r="CL14" s="50"/>
      <c r="CM14" s="50"/>
      <c r="CN14" s="50"/>
      <c r="CO14" s="50"/>
      <c r="CP14" s="50"/>
      <c r="CQ14" s="50"/>
      <c r="CR14" s="50"/>
      <c r="CS14" s="50"/>
      <c r="CT14" s="50"/>
      <c r="CU14" s="50"/>
      <c r="CV14" s="50"/>
      <c r="CW14" s="50"/>
      <c r="CX14" s="50"/>
      <c r="CY14" s="50"/>
      <c r="CZ14" s="50"/>
      <c r="DA14" s="50"/>
      <c r="DB14" s="50"/>
      <c r="DC14" s="50"/>
      <c r="DD14" s="50"/>
      <c r="DE14" s="50"/>
      <c r="DF14" s="50"/>
      <c r="DG14" s="50"/>
      <c r="DH14" s="50"/>
      <c r="DI14" s="50"/>
      <c r="DJ14" s="50"/>
      <c r="DK14" s="50"/>
      <c r="DL14" s="50"/>
      <c r="DM14" s="50"/>
      <c r="DN14" s="50"/>
      <c r="DO14" s="50"/>
      <c r="DP14" s="50"/>
      <c r="DQ14" s="50"/>
      <c r="DR14" s="50"/>
      <c r="DS14" s="50"/>
      <c r="DT14" s="50"/>
      <c r="DU14" s="50"/>
      <c r="DV14" s="50"/>
      <c r="DW14" s="50"/>
      <c r="DX14" s="50"/>
      <c r="DY14" s="50"/>
      <c r="DZ14" s="50"/>
      <c r="EA14" s="50"/>
      <c r="EB14" s="50"/>
      <c r="EC14" s="50"/>
      <c r="ED14" s="50"/>
      <c r="EE14" s="50"/>
      <c r="EF14" s="50"/>
      <c r="EG14" s="50"/>
      <c r="EH14" s="50"/>
      <c r="EI14" s="50"/>
      <c r="EJ14" s="50"/>
      <c r="EK14" s="50"/>
      <c r="EL14" s="50"/>
      <c r="EM14" s="50"/>
      <c r="EN14" s="50"/>
      <c r="EO14" s="50"/>
      <c r="EP14" s="50"/>
      <c r="EQ14" s="50"/>
      <c r="ER14" s="50"/>
      <c r="ES14" s="50"/>
      <c r="ET14" s="50"/>
      <c r="EU14" s="50"/>
      <c r="EV14" s="50"/>
      <c r="EW14" s="50"/>
      <c r="EX14" s="50"/>
      <c r="EY14" s="50"/>
      <c r="EZ14" s="50"/>
    </row>
    <row r="15" spans="1:156" x14ac:dyDescent="0.15">
      <c r="A15" s="39" t="str">
        <f>Results!A15</f>
        <v>G6@7a.asc</v>
      </c>
      <c r="B15" s="35" t="str">
        <f>Results!B15</f>
        <v>/#1/</v>
      </c>
      <c r="C15" s="35">
        <f>Results!C15</f>
        <v>0.75264831733242243</v>
      </c>
      <c r="D15" s="35">
        <f>Results!D15</f>
        <v>1.3143852256936824E-3</v>
      </c>
      <c r="E15" s="35">
        <f>Results!E15</f>
        <v>1</v>
      </c>
      <c r="F15" s="35">
        <f>Results!F15</f>
        <v>0</v>
      </c>
      <c r="G15" s="35">
        <f>Results!I15</f>
        <v>6.5362155052596196E-2</v>
      </c>
      <c r="H15" s="35">
        <f>Results!J15</f>
        <v>1.0962933622158108E-4</v>
      </c>
      <c r="I15" s="35">
        <f>Results!K15</f>
        <v>4.3096121171005704E-2</v>
      </c>
      <c r="J15" s="35">
        <f>Results!L15</f>
        <v>7.5909400341141769E-5</v>
      </c>
      <c r="K15" s="35">
        <f>Results!M15</f>
        <v>111477.65293493601</v>
      </c>
      <c r="L15" s="35">
        <f>Results!N15</f>
        <v>356.38414875454993</v>
      </c>
      <c r="M15" s="35">
        <f>Results!O15</f>
        <v>148112.48962461585</v>
      </c>
      <c r="N15" s="35">
        <f>Results!P15</f>
        <v>277.30581722673878</v>
      </c>
      <c r="O15" s="35">
        <f>Results!Q15</f>
        <v>15422.085834145939</v>
      </c>
      <c r="P15" s="35">
        <f>Results!R15</f>
        <v>60.114023818580861</v>
      </c>
      <c r="Q15" s="35">
        <f>Results!S15</f>
        <v>9683.3327202528671</v>
      </c>
      <c r="R15" s="35">
        <f>Results!T15</f>
        <v>27.066046664556048</v>
      </c>
      <c r="S15" s="35">
        <f>Results!U15</f>
        <v>6385.1372865831636</v>
      </c>
      <c r="T15" s="35">
        <f>Results!V15</f>
        <v>18.911852098120224</v>
      </c>
      <c r="U15" s="35">
        <f>Results!W15</f>
        <v>-247.35168266757756</v>
      </c>
      <c r="V15" s="35">
        <f>Results!X15</f>
        <v>1.3143852256936825</v>
      </c>
      <c r="W15" s="35">
        <f>Results!Y15</f>
        <v>497703.37123478961</v>
      </c>
      <c r="X15" s="35">
        <f>Results!Z15</f>
        <v>0</v>
      </c>
      <c r="Y15" s="35">
        <f>Results!AA15</f>
        <v>-895.88067490315143</v>
      </c>
      <c r="Z15" s="35">
        <f>Results!AB15</f>
        <v>0.39104003549164335</v>
      </c>
      <c r="AA15" s="35">
        <f>Results!AC15</f>
        <v>31596.327075900761</v>
      </c>
      <c r="AB15" s="35">
        <f>Results!AD15</f>
        <v>54.672519559934713</v>
      </c>
      <c r="AC15" s="35">
        <f>Results!AE15</f>
        <v>-956.90387882899427</v>
      </c>
      <c r="AD15" s="35">
        <f>Results!AF15</f>
        <v>7.5909400341141769E-2</v>
      </c>
      <c r="AE15" s="35">
        <f>Results!AG15</f>
        <v>3.0207158965857475</v>
      </c>
      <c r="AF15" s="35">
        <f>Results!AH15</f>
        <v>0</v>
      </c>
      <c r="AG15" s="35">
        <f>Results!AI15</f>
        <v>3.0442908398810045</v>
      </c>
      <c r="AH15" s="35">
        <f>Results!AJ15</f>
        <v>1.0967170519327341</v>
      </c>
      <c r="AI15" s="35">
        <f>Results!AK15</f>
        <v>0.94517252297577359</v>
      </c>
      <c r="AJ15" s="35">
        <f>Results!AL15</f>
        <v>0</v>
      </c>
      <c r="AK15" s="35"/>
      <c r="AL15" s="35"/>
      <c r="AM15" s="35"/>
      <c r="AN15" s="35"/>
      <c r="AO15" s="35"/>
      <c r="AP15" s="35"/>
      <c r="AQ15" s="35"/>
      <c r="AR15" s="35"/>
      <c r="AS15" s="35"/>
      <c r="AT15" s="35"/>
      <c r="AU15" s="35"/>
      <c r="AV15" s="35"/>
      <c r="AW15" s="35"/>
      <c r="AX15" s="35"/>
      <c r="AY15" s="35"/>
      <c r="AZ15" s="35"/>
      <c r="BA15" s="35"/>
      <c r="BB15" s="35"/>
      <c r="BC15" s="35"/>
      <c r="BD15" s="35"/>
      <c r="BE15" s="35"/>
      <c r="BF15" s="35"/>
      <c r="BG15" s="35"/>
      <c r="BH15" s="35"/>
      <c r="BI15" s="35"/>
      <c r="BJ15" s="35"/>
      <c r="BK15" s="35"/>
      <c r="BL15" s="35"/>
      <c r="BM15" s="35"/>
      <c r="BN15" s="35"/>
      <c r="BO15" s="35"/>
      <c r="BP15" s="35"/>
      <c r="BQ15" s="35"/>
      <c r="BR15" s="35"/>
      <c r="BS15" s="35"/>
      <c r="BT15" s="35"/>
      <c r="BU15" s="35"/>
      <c r="BV15" s="35"/>
      <c r="BW15" s="35"/>
      <c r="BX15" s="35"/>
      <c r="BY15" s="35"/>
      <c r="BZ15" s="35"/>
      <c r="CA15" s="35"/>
      <c r="CB15" s="35"/>
      <c r="CC15" s="35"/>
      <c r="CD15" s="35"/>
      <c r="CE15" s="35"/>
      <c r="CF15" s="35"/>
      <c r="CG15" s="35"/>
      <c r="CH15" s="35"/>
      <c r="CI15" s="35"/>
      <c r="CJ15" s="35"/>
      <c r="CK15" s="35"/>
      <c r="CL15" s="35"/>
      <c r="CM15" s="35"/>
      <c r="CN15" s="35"/>
      <c r="CO15" s="35"/>
      <c r="CP15" s="35"/>
      <c r="CQ15" s="35"/>
      <c r="CR15" s="35"/>
      <c r="CS15" s="35"/>
      <c r="CT15" s="35"/>
      <c r="CU15" s="35"/>
      <c r="CV15" s="35"/>
      <c r="CW15" s="35"/>
      <c r="CX15" s="35"/>
      <c r="CY15" s="35"/>
      <c r="CZ15" s="35"/>
      <c r="DA15" s="35"/>
      <c r="DB15" s="35"/>
      <c r="DC15" s="35"/>
      <c r="DD15" s="35"/>
      <c r="DE15" s="35"/>
      <c r="DF15" s="35"/>
      <c r="DG15" s="35"/>
      <c r="DH15" s="35"/>
      <c r="DI15" s="35"/>
      <c r="DJ15" s="35"/>
      <c r="DK15" s="35"/>
      <c r="DL15" s="35"/>
      <c r="DM15" s="35"/>
      <c r="DN15" s="35"/>
      <c r="DO15" s="35"/>
      <c r="DP15" s="35"/>
      <c r="DQ15" s="35"/>
      <c r="DR15" s="35"/>
      <c r="DS15" s="35"/>
      <c r="DT15" s="35"/>
      <c r="DU15" s="35"/>
      <c r="DV15" s="35"/>
      <c r="DW15" s="35"/>
      <c r="DX15" s="35"/>
      <c r="DY15" s="35"/>
      <c r="DZ15" s="35"/>
      <c r="EA15" s="35"/>
      <c r="EB15" s="35"/>
      <c r="EC15" s="35"/>
      <c r="ED15" s="35"/>
      <c r="EE15" s="35"/>
      <c r="EF15" s="35"/>
      <c r="EG15" s="35"/>
      <c r="EH15" s="35"/>
      <c r="EI15" s="35"/>
      <c r="EJ15" s="35"/>
      <c r="EK15" s="35"/>
      <c r="EL15" s="35"/>
      <c r="EM15" s="35"/>
      <c r="EN15" s="35"/>
      <c r="EO15" s="35"/>
      <c r="EP15" s="35"/>
      <c r="EQ15" s="35"/>
      <c r="ER15" s="35"/>
      <c r="ES15" s="35"/>
      <c r="ET15" s="35"/>
      <c r="EU15" s="35"/>
      <c r="EV15" s="35"/>
      <c r="EW15" s="35"/>
      <c r="EX15" s="35"/>
      <c r="EY15" s="35"/>
      <c r="EZ15" s="35"/>
    </row>
    <row r="16" spans="1:156" x14ac:dyDescent="0.15">
      <c r="A16" s="39"/>
      <c r="B16" s="35"/>
      <c r="C16" s="35"/>
      <c r="D16" s="35"/>
      <c r="E16" s="35"/>
      <c r="F16" s="35"/>
      <c r="G16" s="35"/>
      <c r="H16" s="35"/>
      <c r="I16" s="35"/>
      <c r="J16" s="35"/>
      <c r="K16" s="35"/>
      <c r="L16" s="35"/>
      <c r="M16" s="35"/>
      <c r="N16" s="35"/>
      <c r="O16" s="35"/>
      <c r="P16" s="35"/>
      <c r="Q16" s="35"/>
      <c r="R16" s="35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  <c r="AF16" s="35"/>
      <c r="AG16" s="35"/>
      <c r="AH16" s="35"/>
      <c r="AI16" s="35"/>
      <c r="AJ16" s="35"/>
      <c r="AK16" s="35"/>
      <c r="AL16" s="35"/>
      <c r="AM16" s="35"/>
      <c r="AN16" s="35"/>
      <c r="AO16" s="35"/>
      <c r="AP16" s="35"/>
      <c r="AQ16" s="35"/>
      <c r="AR16" s="35"/>
      <c r="AS16" s="35"/>
      <c r="AT16" s="35"/>
      <c r="AU16" s="35"/>
      <c r="AV16" s="35"/>
      <c r="AW16" s="35"/>
      <c r="AX16" s="35"/>
      <c r="AY16" s="35"/>
      <c r="AZ16" s="35"/>
      <c r="BA16" s="35"/>
      <c r="BB16" s="35"/>
      <c r="BC16" s="35"/>
      <c r="BD16" s="35"/>
      <c r="BE16" s="35"/>
      <c r="BF16" s="35"/>
      <c r="BG16" s="35"/>
      <c r="BH16" s="35"/>
      <c r="BI16" s="35"/>
      <c r="BJ16" s="35"/>
      <c r="BK16" s="35"/>
      <c r="BL16" s="35"/>
      <c r="BM16" s="35"/>
      <c r="BN16" s="35"/>
      <c r="BO16" s="35"/>
      <c r="BP16" s="35"/>
      <c r="BQ16" s="35"/>
      <c r="BR16" s="35"/>
      <c r="BS16" s="35"/>
      <c r="BT16" s="35"/>
      <c r="BU16" s="35"/>
      <c r="BV16" s="35"/>
      <c r="BW16" s="35"/>
      <c r="BX16" s="35"/>
      <c r="BY16" s="35"/>
      <c r="BZ16" s="35"/>
      <c r="CA16" s="35"/>
      <c r="CB16" s="35"/>
      <c r="CC16" s="35"/>
      <c r="CD16" s="35"/>
      <c r="CE16" s="35"/>
      <c r="CF16" s="35"/>
      <c r="CG16" s="35"/>
      <c r="CH16" s="35"/>
      <c r="CI16" s="35"/>
      <c r="CJ16" s="35"/>
      <c r="CK16" s="35"/>
      <c r="CL16" s="35"/>
      <c r="CM16" s="35"/>
      <c r="CN16" s="35"/>
      <c r="CO16" s="35"/>
      <c r="CP16" s="35"/>
      <c r="CQ16" s="35"/>
      <c r="CR16" s="35"/>
      <c r="CS16" s="35"/>
      <c r="CT16" s="35"/>
      <c r="CU16" s="35"/>
      <c r="CV16" s="35"/>
      <c r="CW16" s="35"/>
      <c r="CX16" s="35"/>
      <c r="CY16" s="35"/>
      <c r="CZ16" s="35"/>
      <c r="DA16" s="35"/>
      <c r="DB16" s="35"/>
      <c r="DC16" s="35"/>
      <c r="DD16" s="35"/>
      <c r="DE16" s="35"/>
      <c r="DF16" s="35"/>
      <c r="DG16" s="35"/>
      <c r="DH16" s="35"/>
      <c r="DI16" s="35"/>
      <c r="DJ16" s="35"/>
      <c r="DK16" s="35"/>
      <c r="DL16" s="35"/>
      <c r="DM16" s="35"/>
      <c r="DN16" s="35"/>
      <c r="DO16" s="35"/>
      <c r="DP16" s="35"/>
      <c r="DQ16" s="35"/>
      <c r="DR16" s="35"/>
      <c r="DS16" s="35"/>
      <c r="DT16" s="35"/>
      <c r="DU16" s="35"/>
      <c r="DV16" s="35"/>
      <c r="DW16" s="35"/>
      <c r="DX16" s="35"/>
      <c r="DY16" s="35"/>
      <c r="DZ16" s="35"/>
      <c r="EA16" s="35"/>
      <c r="EB16" s="35"/>
      <c r="EC16" s="35"/>
      <c r="ED16" s="35"/>
      <c r="EE16" s="35"/>
      <c r="EF16" s="35"/>
      <c r="EG16" s="35"/>
      <c r="EH16" s="35"/>
      <c r="EI16" s="35"/>
      <c r="EJ16" s="35"/>
      <c r="EK16" s="35"/>
      <c r="EL16" s="35"/>
      <c r="EM16" s="35"/>
      <c r="EN16" s="35"/>
      <c r="EO16" s="35"/>
      <c r="EP16" s="35"/>
      <c r="EQ16" s="35"/>
      <c r="ER16" s="35"/>
      <c r="ES16" s="35"/>
      <c r="ET16" s="35"/>
      <c r="EU16" s="35"/>
      <c r="EV16" s="35"/>
      <c r="EW16" s="35"/>
      <c r="EX16" s="35"/>
      <c r="EY16" s="35"/>
      <c r="EZ16" s="35"/>
    </row>
    <row r="17" spans="1:156" x14ac:dyDescent="0.15">
      <c r="A17" s="39"/>
      <c r="B17" s="35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  <c r="R17" s="35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  <c r="AF17" s="35"/>
      <c r="AG17" s="35"/>
      <c r="AH17" s="35"/>
      <c r="AI17" s="35"/>
      <c r="AJ17" s="35"/>
      <c r="AK17" s="35"/>
      <c r="AL17" s="35"/>
      <c r="AM17" s="35"/>
      <c r="AN17" s="35"/>
      <c r="AO17" s="35"/>
      <c r="AP17" s="35"/>
      <c r="AQ17" s="35"/>
      <c r="AR17" s="35"/>
      <c r="AS17" s="35"/>
      <c r="AT17" s="35"/>
      <c r="AU17" s="35"/>
      <c r="AV17" s="35"/>
      <c r="AW17" s="35"/>
      <c r="AX17" s="35"/>
      <c r="AY17" s="35"/>
      <c r="AZ17" s="35"/>
      <c r="BA17" s="35"/>
      <c r="BB17" s="35"/>
      <c r="BC17" s="35"/>
      <c r="BD17" s="35"/>
      <c r="BE17" s="35"/>
      <c r="BF17" s="35"/>
      <c r="BG17" s="35"/>
      <c r="BH17" s="35"/>
      <c r="BI17" s="35"/>
      <c r="BJ17" s="35"/>
      <c r="BK17" s="35"/>
      <c r="BL17" s="35"/>
      <c r="BM17" s="35"/>
      <c r="BN17" s="35"/>
      <c r="BO17" s="35"/>
      <c r="BP17" s="35"/>
      <c r="BQ17" s="35"/>
      <c r="BR17" s="35"/>
      <c r="BS17" s="35"/>
      <c r="BT17" s="35"/>
      <c r="BU17" s="35"/>
      <c r="BV17" s="35"/>
      <c r="BW17" s="35"/>
      <c r="BX17" s="35"/>
      <c r="BY17" s="35"/>
      <c r="BZ17" s="35"/>
      <c r="CA17" s="35"/>
      <c r="CB17" s="35"/>
      <c r="CC17" s="35"/>
      <c r="CD17" s="35"/>
      <c r="CE17" s="35"/>
      <c r="CF17" s="35"/>
      <c r="CG17" s="35"/>
      <c r="CH17" s="35"/>
      <c r="CI17" s="35"/>
      <c r="CJ17" s="35"/>
      <c r="CK17" s="35"/>
      <c r="CL17" s="35"/>
      <c r="CM17" s="35"/>
      <c r="CN17" s="35"/>
      <c r="CO17" s="35"/>
      <c r="CP17" s="35"/>
      <c r="CQ17" s="35"/>
      <c r="CR17" s="35"/>
      <c r="CS17" s="35"/>
      <c r="CT17" s="35"/>
      <c r="CU17" s="35"/>
      <c r="CV17" s="35"/>
      <c r="CW17" s="35"/>
      <c r="CX17" s="35"/>
      <c r="CY17" s="35"/>
      <c r="CZ17" s="35"/>
      <c r="DA17" s="35"/>
      <c r="DB17" s="35"/>
      <c r="DC17" s="35"/>
      <c r="DD17" s="35"/>
      <c r="DE17" s="35"/>
      <c r="DF17" s="35"/>
      <c r="DG17" s="35"/>
      <c r="DH17" s="35"/>
      <c r="DI17" s="35"/>
      <c r="DJ17" s="35"/>
      <c r="DK17" s="35"/>
      <c r="DL17" s="35"/>
      <c r="DM17" s="35"/>
      <c r="DN17" s="35"/>
      <c r="DO17" s="35"/>
      <c r="DP17" s="35"/>
      <c r="DQ17" s="35"/>
      <c r="DR17" s="35"/>
      <c r="DS17" s="35"/>
      <c r="DT17" s="35"/>
      <c r="DU17" s="35"/>
      <c r="DV17" s="35"/>
      <c r="DW17" s="35"/>
      <c r="DX17" s="35"/>
      <c r="DY17" s="35"/>
      <c r="DZ17" s="35"/>
      <c r="EA17" s="35"/>
      <c r="EB17" s="35"/>
      <c r="EC17" s="35"/>
      <c r="ED17" s="35"/>
      <c r="EE17" s="35"/>
      <c r="EF17" s="35"/>
      <c r="EG17" s="35"/>
      <c r="EH17" s="35"/>
      <c r="EI17" s="35"/>
      <c r="EJ17" s="35"/>
      <c r="EK17" s="35"/>
      <c r="EL17" s="35"/>
      <c r="EM17" s="35"/>
      <c r="EN17" s="35"/>
      <c r="EO17" s="35"/>
      <c r="EP17" s="35"/>
      <c r="EQ17" s="35"/>
      <c r="ER17" s="35"/>
      <c r="ES17" s="35"/>
      <c r="ET17" s="35"/>
      <c r="EU17" s="35"/>
      <c r="EV17" s="35"/>
      <c r="EW17" s="35"/>
      <c r="EX17" s="35"/>
      <c r="EY17" s="35"/>
      <c r="EZ17" s="35"/>
    </row>
    <row r="18" spans="1:156" ht="12.75" customHeight="1" x14ac:dyDescent="0.15">
      <c r="A18" s="54" t="s">
        <v>73</v>
      </c>
      <c r="B18" s="35"/>
      <c r="C18" s="35"/>
      <c r="D18" s="35"/>
      <c r="E18" s="35"/>
      <c r="F18" s="35"/>
      <c r="G18" s="35"/>
      <c r="H18" s="35"/>
      <c r="I18" s="35"/>
      <c r="J18" s="35"/>
      <c r="K18" s="35"/>
      <c r="L18" s="35"/>
      <c r="M18" s="35"/>
      <c r="N18" s="35"/>
      <c r="O18" s="35"/>
      <c r="P18" s="35"/>
      <c r="Q18" s="35"/>
      <c r="R18" s="35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  <c r="AF18" s="35"/>
      <c r="AG18" s="35"/>
      <c r="AH18" s="35"/>
      <c r="AI18" s="35"/>
      <c r="AJ18" s="35"/>
      <c r="AK18" s="35"/>
      <c r="AL18" s="35"/>
      <c r="AM18" s="35"/>
      <c r="AN18" s="35"/>
      <c r="AO18" s="35"/>
      <c r="AP18" s="35"/>
      <c r="AQ18" s="35"/>
      <c r="AR18" s="35"/>
      <c r="AS18" s="35"/>
      <c r="AT18" s="35"/>
      <c r="AU18" s="35"/>
      <c r="AV18" s="35"/>
      <c r="AW18" s="35"/>
      <c r="AX18" s="35"/>
      <c r="AY18" s="35"/>
      <c r="AZ18" s="35"/>
      <c r="BA18" s="35"/>
      <c r="BB18" s="35"/>
      <c r="BC18" s="35"/>
      <c r="BD18" s="35"/>
      <c r="BE18" s="35"/>
      <c r="BF18" s="35"/>
      <c r="BG18" s="35"/>
      <c r="BH18" s="35"/>
      <c r="BI18" s="35"/>
      <c r="BJ18" s="35"/>
      <c r="BK18" s="35"/>
      <c r="BL18" s="35"/>
      <c r="BM18" s="35"/>
      <c r="BN18" s="35"/>
      <c r="BO18" s="35"/>
      <c r="BP18" s="35"/>
      <c r="BQ18" s="35"/>
      <c r="BR18" s="35"/>
      <c r="BS18" s="35"/>
      <c r="BT18" s="35"/>
      <c r="BU18" s="35"/>
      <c r="BV18" s="35"/>
      <c r="BW18" s="35"/>
      <c r="BX18" s="35"/>
      <c r="BY18" s="35"/>
      <c r="BZ18" s="35"/>
      <c r="CA18" s="35"/>
      <c r="CB18" s="35"/>
      <c r="CC18" s="35"/>
      <c r="CD18" s="35"/>
      <c r="CE18" s="35"/>
      <c r="CF18" s="35"/>
      <c r="CG18" s="35"/>
      <c r="CH18" s="35"/>
      <c r="CI18" s="35"/>
      <c r="CJ18" s="35"/>
      <c r="CK18" s="35"/>
      <c r="CL18" s="35"/>
      <c r="CM18" s="35"/>
      <c r="CN18" s="35"/>
      <c r="CO18" s="35"/>
      <c r="CP18" s="35"/>
      <c r="CQ18" s="35"/>
      <c r="CR18" s="35"/>
      <c r="CS18" s="35"/>
      <c r="CT18" s="35"/>
      <c r="CU18" s="35"/>
      <c r="CV18" s="35"/>
      <c r="CW18" s="35"/>
      <c r="CX18" s="35"/>
      <c r="CY18" s="35"/>
      <c r="CZ18" s="35"/>
      <c r="DA18" s="35"/>
      <c r="DB18" s="35"/>
      <c r="DC18" s="35"/>
      <c r="DD18" s="35"/>
      <c r="DE18" s="35"/>
      <c r="DF18" s="35"/>
      <c r="DG18" s="35"/>
      <c r="DH18" s="35"/>
      <c r="DI18" s="35"/>
      <c r="DJ18" s="35"/>
      <c r="DK18" s="35"/>
      <c r="DL18" s="35"/>
      <c r="DM18" s="35"/>
      <c r="DN18" s="35"/>
      <c r="DO18" s="35"/>
      <c r="DP18" s="35"/>
      <c r="DQ18" s="35"/>
      <c r="DR18" s="35"/>
      <c r="DS18" s="35"/>
      <c r="DT18" s="35"/>
      <c r="DU18" s="35"/>
      <c r="DV18" s="35"/>
      <c r="DW18" s="35"/>
      <c r="DX18" s="35"/>
      <c r="DY18" s="35"/>
      <c r="DZ18" s="35"/>
      <c r="EA18" s="35"/>
      <c r="EB18" s="35"/>
      <c r="EC18" s="35"/>
      <c r="ED18" s="35"/>
      <c r="EE18" s="35"/>
      <c r="EF18" s="35"/>
      <c r="EG18" s="35"/>
      <c r="EH18" s="35"/>
      <c r="EI18" s="35"/>
      <c r="EJ18" s="35"/>
      <c r="EK18" s="35"/>
      <c r="EL18" s="35"/>
      <c r="EM18" s="35"/>
      <c r="EN18" s="35"/>
      <c r="EO18" s="35"/>
      <c r="EP18" s="35"/>
      <c r="EQ18" s="35"/>
      <c r="ER18" s="35"/>
      <c r="ES18" s="35"/>
      <c r="ET18" s="35"/>
      <c r="EU18" s="35"/>
      <c r="EV18" s="35"/>
      <c r="EW18" s="35"/>
      <c r="EX18" s="35"/>
      <c r="EY18" s="35"/>
      <c r="EZ18" s="35"/>
    </row>
    <row r="19" spans="1:156" ht="12.75" customHeight="1" x14ac:dyDescent="0.15">
      <c r="A19" s="39"/>
      <c r="B19" s="35"/>
      <c r="C19" s="35"/>
      <c r="D19" s="35"/>
      <c r="E19" s="35"/>
      <c r="F19" s="35"/>
      <c r="G19" s="35"/>
      <c r="H19" s="35"/>
      <c r="I19" s="35"/>
      <c r="J19" s="35"/>
      <c r="K19" s="35"/>
      <c r="L19" s="35"/>
      <c r="M19" s="35"/>
      <c r="N19" s="35"/>
      <c r="O19" s="35"/>
      <c r="P19" s="35"/>
      <c r="Q19" s="35"/>
      <c r="R19" s="35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  <c r="AF19" s="35"/>
      <c r="AG19" s="35"/>
      <c r="AH19" s="35"/>
      <c r="AI19" s="35"/>
      <c r="AJ19" s="35"/>
      <c r="AK19" s="35"/>
      <c r="AL19" s="35"/>
      <c r="AM19" s="35"/>
      <c r="AN19" s="35"/>
      <c r="AO19" s="35"/>
      <c r="AP19" s="35"/>
      <c r="AQ19" s="35"/>
      <c r="AR19" s="35"/>
      <c r="AS19" s="35"/>
      <c r="AT19" s="35"/>
      <c r="AU19" s="35"/>
      <c r="AV19" s="35"/>
      <c r="AW19" s="35"/>
      <c r="AX19" s="35"/>
      <c r="AY19" s="35"/>
      <c r="AZ19" s="35"/>
      <c r="BA19" s="35"/>
      <c r="BB19" s="35"/>
      <c r="BC19" s="35"/>
      <c r="BD19" s="35"/>
      <c r="BE19" s="35"/>
      <c r="BF19" s="35"/>
      <c r="BG19" s="35"/>
      <c r="BH19" s="35"/>
      <c r="BI19" s="35"/>
      <c r="BJ19" s="35"/>
      <c r="BK19" s="35"/>
      <c r="BL19" s="35"/>
      <c r="BM19" s="35"/>
      <c r="BN19" s="35"/>
      <c r="BO19" s="35"/>
      <c r="BP19" s="35"/>
      <c r="BQ19" s="35"/>
      <c r="BR19" s="35"/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5"/>
      <c r="CH19" s="35"/>
      <c r="CI19" s="35"/>
      <c r="CJ19" s="35"/>
      <c r="CK19" s="35"/>
      <c r="CL19" s="35"/>
      <c r="CM19" s="35"/>
      <c r="CN19" s="35"/>
      <c r="CO19" s="35"/>
      <c r="CP19" s="35"/>
      <c r="CQ19" s="35"/>
      <c r="CR19" s="35"/>
      <c r="CS19" s="35"/>
      <c r="CT19" s="35"/>
      <c r="CU19" s="35"/>
      <c r="CV19" s="35"/>
      <c r="CW19" s="35"/>
      <c r="CX19" s="35"/>
      <c r="CY19" s="35"/>
      <c r="CZ19" s="35"/>
      <c r="DA19" s="35"/>
      <c r="DB19" s="35"/>
      <c r="DC19" s="35"/>
      <c r="DD19" s="35"/>
      <c r="DE19" s="35"/>
      <c r="DF19" s="35"/>
      <c r="DG19" s="35"/>
      <c r="DH19" s="35"/>
      <c r="DI19" s="35"/>
      <c r="DJ19" s="35"/>
      <c r="DK19" s="35"/>
      <c r="DL19" s="35"/>
      <c r="DM19" s="35"/>
      <c r="DN19" s="35"/>
      <c r="DO19" s="35"/>
      <c r="DP19" s="35"/>
      <c r="DQ19" s="35"/>
      <c r="DR19" s="35"/>
      <c r="DS19" s="35"/>
      <c r="DT19" s="35"/>
      <c r="DU19" s="35"/>
      <c r="DV19" s="35"/>
      <c r="DW19" s="35"/>
      <c r="DX19" s="35"/>
      <c r="DY19" s="35"/>
      <c r="DZ19" s="35"/>
      <c r="EA19" s="35"/>
      <c r="EB19" s="35"/>
      <c r="EC19" s="35"/>
      <c r="ED19" s="35"/>
      <c r="EE19" s="35"/>
      <c r="EF19" s="35"/>
      <c r="EG19" s="35"/>
      <c r="EH19" s="35"/>
      <c r="EI19" s="35"/>
      <c r="EJ19" s="35"/>
      <c r="EK19" s="35"/>
      <c r="EL19" s="35"/>
      <c r="EM19" s="35"/>
      <c r="EN19" s="35"/>
      <c r="EO19" s="35"/>
      <c r="EP19" s="35"/>
      <c r="EQ19" s="35"/>
      <c r="ER19" s="35"/>
      <c r="ES19" s="35"/>
      <c r="ET19" s="35"/>
      <c r="EU19" s="35"/>
      <c r="EV19" s="35"/>
      <c r="EW19" s="35"/>
      <c r="EX19" s="35"/>
      <c r="EY19" s="35"/>
      <c r="EZ19" s="35"/>
    </row>
    <row r="20" spans="1:156" ht="12.75" customHeight="1" x14ac:dyDescent="0.15">
      <c r="A20" s="39"/>
      <c r="B20" s="35"/>
      <c r="C20" s="35"/>
      <c r="D20" s="35"/>
      <c r="E20" s="35"/>
      <c r="F20" s="35"/>
      <c r="G20" s="35"/>
      <c r="H20" s="35"/>
      <c r="I20" s="35"/>
      <c r="J20" s="35"/>
      <c r="K20" s="35"/>
      <c r="L20" s="35"/>
      <c r="M20" s="35"/>
      <c r="N20" s="35"/>
      <c r="O20" s="35"/>
      <c r="P20" s="35"/>
      <c r="Q20" s="35"/>
      <c r="R20" s="35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  <c r="AF20" s="35"/>
      <c r="AG20" s="35"/>
      <c r="AH20" s="35"/>
      <c r="AI20" s="35"/>
      <c r="AJ20" s="35"/>
      <c r="AK20" s="35"/>
      <c r="AL20" s="35"/>
      <c r="AM20" s="35"/>
      <c r="AN20" s="35"/>
      <c r="AO20" s="35"/>
      <c r="AP20" s="35"/>
      <c r="AQ20" s="35"/>
      <c r="AR20" s="35"/>
      <c r="AS20" s="35"/>
      <c r="AT20" s="35"/>
      <c r="AU20" s="35"/>
      <c r="AV20" s="35"/>
      <c r="AW20" s="35"/>
      <c r="AX20" s="35"/>
      <c r="AY20" s="35"/>
      <c r="AZ20" s="35"/>
      <c r="BA20" s="35"/>
      <c r="BB20" s="35"/>
      <c r="BC20" s="35"/>
      <c r="BD20" s="35"/>
      <c r="BE20" s="35"/>
      <c r="BF20" s="35"/>
      <c r="BG20" s="35"/>
      <c r="BH20" s="35"/>
      <c r="BI20" s="35"/>
      <c r="BJ20" s="35"/>
      <c r="BK20" s="35"/>
      <c r="BL20" s="35"/>
      <c r="BM20" s="35"/>
      <c r="BN20" s="35"/>
      <c r="BO20" s="35"/>
      <c r="BP20" s="35"/>
      <c r="BQ20" s="35"/>
      <c r="BR20" s="35"/>
      <c r="BS20" s="35"/>
      <c r="BT20" s="35"/>
      <c r="BU20" s="35"/>
      <c r="BV20" s="35"/>
      <c r="BW20" s="35"/>
      <c r="BX20" s="35"/>
      <c r="BY20" s="35"/>
      <c r="BZ20" s="35"/>
      <c r="CA20" s="35"/>
      <c r="CB20" s="35"/>
      <c r="CC20" s="35"/>
      <c r="CD20" s="35"/>
      <c r="CE20" s="35"/>
      <c r="CF20" s="35"/>
      <c r="CG20" s="35"/>
      <c r="CH20" s="35"/>
      <c r="CI20" s="35"/>
      <c r="CJ20" s="35"/>
      <c r="CK20" s="35"/>
      <c r="CL20" s="35"/>
      <c r="CM20" s="35"/>
      <c r="CN20" s="35"/>
      <c r="CO20" s="35"/>
      <c r="CP20" s="35"/>
      <c r="CQ20" s="35"/>
      <c r="CR20" s="35"/>
      <c r="CS20" s="35"/>
      <c r="CT20" s="35"/>
      <c r="CU20" s="35"/>
      <c r="CV20" s="35"/>
      <c r="CW20" s="35"/>
      <c r="CX20" s="35"/>
      <c r="CY20" s="35"/>
      <c r="CZ20" s="35"/>
      <c r="DA20" s="35"/>
      <c r="DB20" s="35"/>
      <c r="DC20" s="35"/>
      <c r="DD20" s="35"/>
      <c r="DE20" s="35"/>
      <c r="DF20" s="35"/>
      <c r="DG20" s="35"/>
      <c r="DH20" s="35"/>
      <c r="DI20" s="35"/>
      <c r="DJ20" s="35"/>
      <c r="DK20" s="35"/>
      <c r="DL20" s="35"/>
      <c r="DM20" s="35"/>
      <c r="DN20" s="35"/>
      <c r="DO20" s="35"/>
      <c r="DP20" s="35"/>
      <c r="DQ20" s="35"/>
      <c r="DR20" s="35"/>
      <c r="DS20" s="35"/>
      <c r="DT20" s="35"/>
      <c r="DU20" s="35"/>
      <c r="DV20" s="35"/>
      <c r="DW20" s="35"/>
      <c r="DX20" s="35"/>
      <c r="DY20" s="35"/>
      <c r="DZ20" s="35"/>
      <c r="EA20" s="35"/>
      <c r="EB20" s="35"/>
      <c r="EC20" s="35"/>
      <c r="ED20" s="35"/>
      <c r="EE20" s="35"/>
      <c r="EF20" s="35"/>
      <c r="EG20" s="35"/>
      <c r="EH20" s="35"/>
      <c r="EI20" s="35"/>
      <c r="EJ20" s="35"/>
      <c r="EK20" s="35"/>
      <c r="EL20" s="35"/>
      <c r="EM20" s="35"/>
      <c r="EN20" s="35"/>
      <c r="EO20" s="35"/>
      <c r="EP20" s="35"/>
      <c r="EQ20" s="35"/>
      <c r="ER20" s="35"/>
      <c r="ES20" s="35"/>
      <c r="ET20" s="35"/>
      <c r="EU20" s="35"/>
      <c r="EV20" s="35"/>
      <c r="EW20" s="35"/>
      <c r="EX20" s="35"/>
      <c r="EY20" s="35"/>
      <c r="EZ20" s="35"/>
    </row>
    <row r="21" spans="1:156" ht="12.75" customHeight="1" x14ac:dyDescent="0.15">
      <c r="A21" s="39"/>
      <c r="B21" s="35"/>
      <c r="C21" s="35"/>
      <c r="D21" s="35"/>
      <c r="E21" s="35"/>
      <c r="F21" s="35"/>
      <c r="G21" s="35"/>
      <c r="H21" s="35"/>
      <c r="I21" s="35"/>
      <c r="J21" s="35"/>
      <c r="K21" s="35"/>
      <c r="L21" s="35"/>
      <c r="M21" s="35"/>
      <c r="N21" s="35"/>
      <c r="O21" s="35"/>
      <c r="P21" s="35"/>
      <c r="Q21" s="35"/>
      <c r="R21" s="35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  <c r="AF21" s="35"/>
      <c r="AG21" s="35"/>
      <c r="AH21" s="35"/>
      <c r="AI21" s="35"/>
      <c r="AJ21" s="35"/>
      <c r="AK21" s="35"/>
      <c r="AL21" s="35"/>
      <c r="AM21" s="35"/>
      <c r="AN21" s="35"/>
      <c r="AO21" s="35"/>
      <c r="AP21" s="35"/>
      <c r="AQ21" s="35"/>
      <c r="AR21" s="35"/>
      <c r="AS21" s="35"/>
      <c r="AT21" s="35"/>
      <c r="AU21" s="35"/>
      <c r="AV21" s="35"/>
      <c r="AW21" s="35"/>
      <c r="AX21" s="35"/>
      <c r="AY21" s="35"/>
      <c r="AZ21" s="35"/>
      <c r="BA21" s="35"/>
      <c r="BB21" s="35"/>
      <c r="BC21" s="35"/>
      <c r="BD21" s="35"/>
      <c r="BE21" s="35"/>
      <c r="BF21" s="35"/>
      <c r="BG21" s="35"/>
      <c r="BH21" s="35"/>
      <c r="BI21" s="35"/>
      <c r="BJ21" s="35"/>
      <c r="BK21" s="35"/>
      <c r="BL21" s="35"/>
      <c r="BM21" s="35"/>
      <c r="BN21" s="35"/>
      <c r="BO21" s="35"/>
      <c r="BP21" s="35"/>
      <c r="BQ21" s="35"/>
      <c r="BR21" s="35"/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5"/>
      <c r="CH21" s="35"/>
      <c r="CI21" s="35"/>
      <c r="CJ21" s="35"/>
      <c r="CK21" s="35"/>
      <c r="CL21" s="35"/>
      <c r="CM21" s="35"/>
      <c r="CN21" s="35"/>
      <c r="CO21" s="35"/>
      <c r="CP21" s="35"/>
      <c r="CQ21" s="35"/>
      <c r="CR21" s="35"/>
      <c r="CS21" s="35"/>
      <c r="CT21" s="35"/>
      <c r="CU21" s="35"/>
      <c r="CV21" s="35"/>
      <c r="CW21" s="35"/>
      <c r="CX21" s="35"/>
      <c r="CY21" s="35"/>
      <c r="CZ21" s="35"/>
      <c r="DA21" s="35"/>
      <c r="DB21" s="35"/>
      <c r="DC21" s="35"/>
      <c r="DD21" s="35"/>
      <c r="DE21" s="35"/>
      <c r="DF21" s="35"/>
      <c r="DG21" s="35"/>
      <c r="DH21" s="35"/>
      <c r="DI21" s="35"/>
      <c r="DJ21" s="35"/>
      <c r="DK21" s="35"/>
      <c r="DL21" s="35"/>
      <c r="DM21" s="35"/>
      <c r="DN21" s="35"/>
      <c r="DO21" s="35"/>
      <c r="DP21" s="35"/>
      <c r="DQ21" s="35"/>
      <c r="DR21" s="35"/>
      <c r="DS21" s="35"/>
      <c r="DT21" s="35"/>
      <c r="DU21" s="35"/>
      <c r="DV21" s="35"/>
      <c r="DW21" s="35"/>
      <c r="DX21" s="35"/>
      <c r="DY21" s="35"/>
      <c r="DZ21" s="35"/>
      <c r="EA21" s="35"/>
      <c r="EB21" s="35"/>
      <c r="EC21" s="35"/>
      <c r="ED21" s="35"/>
      <c r="EE21" s="35"/>
      <c r="EF21" s="35"/>
      <c r="EG21" s="35"/>
      <c r="EH21" s="35"/>
      <c r="EI21" s="35"/>
      <c r="EJ21" s="35"/>
      <c r="EK21" s="35"/>
      <c r="EL21" s="35"/>
      <c r="EM21" s="35"/>
      <c r="EN21" s="35"/>
      <c r="EO21" s="35"/>
      <c r="EP21" s="35"/>
      <c r="EQ21" s="35"/>
      <c r="ER21" s="35"/>
      <c r="ES21" s="35"/>
      <c r="ET21" s="35"/>
      <c r="EU21" s="35"/>
      <c r="EV21" s="35"/>
      <c r="EW21" s="35"/>
      <c r="EX21" s="35"/>
      <c r="EY21" s="35"/>
      <c r="EZ21" s="35"/>
    </row>
    <row r="22" spans="1:156" ht="12.75" customHeight="1" x14ac:dyDescent="0.15">
      <c r="A22" s="39"/>
      <c r="B22" s="35"/>
      <c r="C22" s="35"/>
      <c r="D22" s="35"/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5"/>
      <c r="Q22" s="35"/>
      <c r="R22" s="35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  <c r="AF22" s="35"/>
      <c r="AG22" s="35"/>
      <c r="AH22" s="35"/>
      <c r="AI22" s="35"/>
      <c r="AJ22" s="35"/>
      <c r="AK22" s="35"/>
      <c r="AL22" s="35"/>
      <c r="AM22" s="35"/>
      <c r="AN22" s="35"/>
      <c r="AO22" s="35"/>
      <c r="AP22" s="35"/>
      <c r="AQ22" s="35"/>
      <c r="AR22" s="35"/>
      <c r="AS22" s="35"/>
      <c r="AT22" s="35"/>
      <c r="AU22" s="35"/>
      <c r="AV22" s="35"/>
      <c r="AW22" s="35"/>
      <c r="AX22" s="35"/>
      <c r="AY22" s="35"/>
      <c r="AZ22" s="35"/>
      <c r="BA22" s="35"/>
      <c r="BB22" s="35"/>
      <c r="BC22" s="35"/>
      <c r="BD22" s="35"/>
      <c r="BE22" s="35"/>
      <c r="BF22" s="35"/>
      <c r="BG22" s="35"/>
      <c r="BH22" s="35"/>
      <c r="BI22" s="35"/>
      <c r="BJ22" s="35"/>
      <c r="BK22" s="35"/>
      <c r="BL22" s="35"/>
      <c r="BM22" s="35"/>
      <c r="BN22" s="35"/>
      <c r="BO22" s="35"/>
      <c r="BP22" s="35"/>
      <c r="BQ22" s="35"/>
      <c r="BR22" s="35"/>
      <c r="BS22" s="35"/>
      <c r="BT22" s="35"/>
      <c r="BU22" s="35"/>
      <c r="BV22" s="35"/>
      <c r="BW22" s="35"/>
      <c r="BX22" s="35"/>
      <c r="BY22" s="35"/>
      <c r="BZ22" s="35"/>
      <c r="CA22" s="35"/>
      <c r="CB22" s="35"/>
      <c r="CC22" s="35"/>
      <c r="CD22" s="35"/>
      <c r="CE22" s="35"/>
      <c r="CF22" s="35"/>
      <c r="CG22" s="35"/>
      <c r="CH22" s="35"/>
      <c r="CI22" s="35"/>
      <c r="CJ22" s="35"/>
      <c r="CK22" s="35"/>
      <c r="CL22" s="35"/>
      <c r="CM22" s="35"/>
      <c r="CN22" s="35"/>
      <c r="CO22" s="35"/>
      <c r="CP22" s="35"/>
      <c r="CQ22" s="35"/>
      <c r="CR22" s="35"/>
      <c r="CS22" s="35"/>
      <c r="CT22" s="35"/>
      <c r="CU22" s="35"/>
      <c r="CV22" s="35"/>
      <c r="CW22" s="35"/>
      <c r="CX22" s="35"/>
      <c r="CY22" s="35"/>
      <c r="CZ22" s="35"/>
      <c r="DA22" s="35"/>
      <c r="DB22" s="35"/>
      <c r="DC22" s="35"/>
      <c r="DD22" s="35"/>
      <c r="DE22" s="35"/>
      <c r="DF22" s="35"/>
      <c r="DG22" s="35"/>
      <c r="DH22" s="35"/>
      <c r="DI22" s="35"/>
      <c r="DJ22" s="35"/>
      <c r="DK22" s="35"/>
      <c r="DL22" s="35"/>
      <c r="DM22" s="35"/>
      <c r="DN22" s="35"/>
      <c r="DO22" s="35"/>
      <c r="DP22" s="35"/>
      <c r="DQ22" s="35"/>
      <c r="DR22" s="35"/>
      <c r="DS22" s="35"/>
      <c r="DT22" s="35"/>
      <c r="DU22" s="35"/>
      <c r="DV22" s="35"/>
      <c r="DW22" s="35"/>
      <c r="DX22" s="35"/>
      <c r="DY22" s="35"/>
      <c r="DZ22" s="35"/>
      <c r="EA22" s="35"/>
      <c r="EB22" s="35"/>
      <c r="EC22" s="35"/>
      <c r="ED22" s="35"/>
      <c r="EE22" s="35"/>
      <c r="EF22" s="35"/>
      <c r="EG22" s="35"/>
      <c r="EH22" s="35"/>
      <c r="EI22" s="35"/>
      <c r="EJ22" s="35"/>
      <c r="EK22" s="35"/>
      <c r="EL22" s="35"/>
      <c r="EM22" s="35"/>
      <c r="EN22" s="35"/>
      <c r="EO22" s="35"/>
      <c r="EP22" s="35"/>
      <c r="EQ22" s="35"/>
      <c r="ER22" s="35"/>
      <c r="ES22" s="35"/>
      <c r="ET22" s="35"/>
      <c r="EU22" s="35"/>
      <c r="EV22" s="35"/>
      <c r="EW22" s="35"/>
      <c r="EX22" s="35"/>
      <c r="EY22" s="35"/>
      <c r="EZ22" s="35"/>
    </row>
    <row r="23" spans="1:156" ht="12.75" customHeight="1" x14ac:dyDescent="0.15">
      <c r="A23" s="39"/>
      <c r="B23" s="35"/>
      <c r="C23" s="35"/>
      <c r="D23" s="35"/>
      <c r="E23" s="35"/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35"/>
      <c r="AP23" s="35"/>
      <c r="AQ23" s="35"/>
      <c r="AR23" s="35"/>
      <c r="AS23" s="35"/>
      <c r="AT23" s="35"/>
      <c r="AU23" s="35"/>
      <c r="AV23" s="35"/>
      <c r="AW23" s="35"/>
      <c r="AX23" s="35"/>
      <c r="AY23" s="35"/>
      <c r="AZ23" s="35"/>
      <c r="BA23" s="35"/>
      <c r="BB23" s="35"/>
      <c r="BC23" s="35"/>
      <c r="BD23" s="35"/>
      <c r="BE23" s="35"/>
      <c r="BF23" s="35"/>
      <c r="BG23" s="35"/>
      <c r="BH23" s="35"/>
      <c r="BI23" s="35"/>
      <c r="BJ23" s="35"/>
      <c r="BK23" s="35"/>
      <c r="BL23" s="35"/>
      <c r="BM23" s="35"/>
      <c r="BN23" s="35"/>
      <c r="BO23" s="35"/>
      <c r="BP23" s="35"/>
      <c r="BQ23" s="35"/>
      <c r="BR23" s="35"/>
      <c r="BS23" s="35"/>
      <c r="BT23" s="35"/>
      <c r="BU23" s="35"/>
      <c r="BV23" s="35"/>
      <c r="BW23" s="35"/>
      <c r="BX23" s="35"/>
      <c r="BY23" s="35"/>
      <c r="BZ23" s="35"/>
      <c r="CA23" s="35"/>
      <c r="CB23" s="35"/>
      <c r="CC23" s="35"/>
      <c r="CD23" s="35"/>
      <c r="CE23" s="35"/>
      <c r="CF23" s="35"/>
      <c r="CG23" s="35"/>
      <c r="CH23" s="35"/>
      <c r="CI23" s="35"/>
      <c r="CJ23" s="35"/>
      <c r="CK23" s="35"/>
      <c r="CL23" s="35"/>
      <c r="CM23" s="35"/>
      <c r="CN23" s="35"/>
      <c r="CO23" s="35"/>
      <c r="CP23" s="35"/>
      <c r="CQ23" s="35"/>
      <c r="CR23" s="35"/>
      <c r="CS23" s="35"/>
      <c r="CT23" s="35"/>
      <c r="CU23" s="35"/>
      <c r="CV23" s="35"/>
      <c r="CW23" s="35"/>
      <c r="CX23" s="35"/>
      <c r="CY23" s="35"/>
      <c r="CZ23" s="35"/>
      <c r="DA23" s="35"/>
      <c r="DB23" s="35"/>
      <c r="DC23" s="35"/>
      <c r="DD23" s="35"/>
      <c r="DE23" s="35"/>
      <c r="DF23" s="35"/>
      <c r="DG23" s="35"/>
      <c r="DH23" s="35"/>
      <c r="DI23" s="35"/>
      <c r="DJ23" s="35"/>
      <c r="DK23" s="35"/>
      <c r="DL23" s="35"/>
      <c r="DM23" s="35"/>
      <c r="DN23" s="35"/>
      <c r="DO23" s="35"/>
      <c r="DP23" s="35"/>
      <c r="DQ23" s="35"/>
      <c r="DR23" s="35"/>
      <c r="DS23" s="35"/>
      <c r="DT23" s="35"/>
      <c r="DU23" s="35"/>
      <c r="DV23" s="35"/>
      <c r="DW23" s="35"/>
      <c r="DX23" s="35"/>
      <c r="DY23" s="35"/>
      <c r="DZ23" s="35"/>
      <c r="EA23" s="35"/>
      <c r="EB23" s="35"/>
      <c r="EC23" s="35"/>
      <c r="ED23" s="35"/>
      <c r="EE23" s="35"/>
      <c r="EF23" s="35"/>
      <c r="EG23" s="35"/>
      <c r="EH23" s="35"/>
      <c r="EI23" s="35"/>
      <c r="EJ23" s="35"/>
      <c r="EK23" s="35"/>
      <c r="EL23" s="35"/>
      <c r="EM23" s="35"/>
      <c r="EN23" s="35"/>
      <c r="EO23" s="35"/>
      <c r="EP23" s="35"/>
      <c r="EQ23" s="35"/>
      <c r="ER23" s="35"/>
      <c r="ES23" s="35"/>
      <c r="ET23" s="35"/>
      <c r="EU23" s="35"/>
      <c r="EV23" s="35"/>
      <c r="EW23" s="35"/>
      <c r="EX23" s="35"/>
      <c r="EY23" s="35"/>
      <c r="EZ23" s="35"/>
    </row>
    <row r="24" spans="1:156" ht="12.75" customHeight="1" x14ac:dyDescent="0.15">
      <c r="A24" s="39"/>
      <c r="B24" s="35"/>
      <c r="C24" s="35"/>
      <c r="D24" s="35"/>
      <c r="E24" s="35"/>
      <c r="F24" s="35"/>
      <c r="G24" s="35"/>
      <c r="H24" s="35"/>
      <c r="I24" s="35"/>
      <c r="J24" s="35"/>
      <c r="K24" s="35"/>
      <c r="L24" s="35"/>
      <c r="M24" s="35"/>
      <c r="N24" s="35"/>
      <c r="O24" s="35"/>
      <c r="P24" s="35"/>
      <c r="Q24" s="35"/>
      <c r="R24" s="35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  <c r="AF24" s="35"/>
      <c r="AG24" s="35"/>
      <c r="AH24" s="35"/>
      <c r="AI24" s="35"/>
      <c r="AJ24" s="35"/>
      <c r="AK24" s="35"/>
      <c r="AL24" s="35"/>
      <c r="AM24" s="35"/>
      <c r="AN24" s="35"/>
      <c r="AO24" s="35"/>
      <c r="AP24" s="35"/>
      <c r="AQ24" s="35"/>
      <c r="AR24" s="35"/>
      <c r="AS24" s="35"/>
      <c r="AT24" s="35"/>
      <c r="AU24" s="35"/>
      <c r="AV24" s="35"/>
      <c r="AW24" s="35"/>
      <c r="AX24" s="35"/>
      <c r="AY24" s="35"/>
      <c r="AZ24" s="35"/>
      <c r="BA24" s="35"/>
      <c r="BB24" s="35"/>
      <c r="BC24" s="35"/>
      <c r="BD24" s="35"/>
      <c r="BE24" s="35"/>
      <c r="BF24" s="35"/>
      <c r="BG24" s="35"/>
      <c r="BH24" s="35"/>
      <c r="BI24" s="35"/>
      <c r="BJ24" s="35"/>
      <c r="BK24" s="35"/>
      <c r="BL24" s="35"/>
      <c r="BM24" s="35"/>
      <c r="BN24" s="35"/>
      <c r="BO24" s="35"/>
      <c r="BP24" s="35"/>
      <c r="BQ24" s="35"/>
      <c r="BR24" s="35"/>
      <c r="BS24" s="35"/>
      <c r="BT24" s="35"/>
      <c r="BU24" s="35"/>
      <c r="BV24" s="35"/>
      <c r="BW24" s="35"/>
      <c r="BX24" s="35"/>
      <c r="BY24" s="35"/>
      <c r="BZ24" s="35"/>
      <c r="CA24" s="35"/>
      <c r="CB24" s="35"/>
      <c r="CC24" s="35"/>
      <c r="CD24" s="35"/>
      <c r="CE24" s="35"/>
      <c r="CF24" s="35"/>
      <c r="CG24" s="35"/>
      <c r="CH24" s="35"/>
      <c r="CI24" s="35"/>
      <c r="CJ24" s="35"/>
      <c r="CK24" s="35"/>
      <c r="CL24" s="35"/>
      <c r="CM24" s="35"/>
      <c r="CN24" s="35"/>
      <c r="CO24" s="35"/>
      <c r="CP24" s="35"/>
      <c r="CQ24" s="35"/>
      <c r="CR24" s="35"/>
      <c r="CS24" s="35"/>
      <c r="CT24" s="35"/>
      <c r="CU24" s="35"/>
      <c r="CV24" s="35"/>
      <c r="CW24" s="35"/>
      <c r="CX24" s="35"/>
      <c r="CY24" s="35"/>
      <c r="CZ24" s="35"/>
      <c r="DA24" s="35"/>
      <c r="DB24" s="35"/>
      <c r="DC24" s="35"/>
      <c r="DD24" s="35"/>
      <c r="DE24" s="35"/>
      <c r="DF24" s="35"/>
      <c r="DG24" s="35"/>
      <c r="DH24" s="35"/>
      <c r="DI24" s="35"/>
      <c r="DJ24" s="35"/>
      <c r="DK24" s="35"/>
      <c r="DL24" s="35"/>
      <c r="DM24" s="35"/>
      <c r="DN24" s="35"/>
      <c r="DO24" s="35"/>
      <c r="DP24" s="35"/>
      <c r="DQ24" s="35"/>
      <c r="DR24" s="35"/>
      <c r="DS24" s="35"/>
      <c r="DT24" s="35"/>
      <c r="DU24" s="35"/>
      <c r="DV24" s="35"/>
      <c r="DW24" s="35"/>
      <c r="DX24" s="35"/>
      <c r="DY24" s="35"/>
      <c r="DZ24" s="35"/>
      <c r="EA24" s="35"/>
      <c r="EB24" s="35"/>
      <c r="EC24" s="35"/>
      <c r="ED24" s="35"/>
      <c r="EE24" s="35"/>
      <c r="EF24" s="35"/>
      <c r="EG24" s="35"/>
      <c r="EH24" s="35"/>
      <c r="EI24" s="35"/>
      <c r="EJ24" s="35"/>
      <c r="EK24" s="35"/>
      <c r="EL24" s="35"/>
      <c r="EM24" s="35"/>
      <c r="EN24" s="35"/>
      <c r="EO24" s="35"/>
      <c r="EP24" s="35"/>
      <c r="EQ24" s="35"/>
      <c r="ER24" s="35"/>
      <c r="ES24" s="35"/>
      <c r="ET24" s="35"/>
      <c r="EU24" s="35"/>
      <c r="EV24" s="35"/>
      <c r="EW24" s="35"/>
      <c r="EX24" s="35"/>
      <c r="EY24" s="35"/>
      <c r="EZ24" s="35"/>
    </row>
    <row r="25" spans="1:156" ht="12.75" customHeight="1" x14ac:dyDescent="0.15">
      <c r="A25" s="39"/>
      <c r="B25" s="35"/>
      <c r="C25" s="35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35"/>
      <c r="AQ25" s="35"/>
      <c r="AR25" s="35"/>
      <c r="AS25" s="35"/>
      <c r="AT25" s="35"/>
      <c r="AU25" s="35"/>
      <c r="AV25" s="35"/>
      <c r="AW25" s="35"/>
      <c r="AX25" s="35"/>
      <c r="AY25" s="35"/>
      <c r="AZ25" s="35"/>
      <c r="BA25" s="35"/>
      <c r="BB25" s="35"/>
      <c r="BC25" s="35"/>
      <c r="BD25" s="35"/>
      <c r="BE25" s="35"/>
      <c r="BF25" s="35"/>
      <c r="BG25" s="35"/>
      <c r="BH25" s="35"/>
      <c r="BI25" s="35"/>
      <c r="BJ25" s="35"/>
      <c r="BK25" s="35"/>
      <c r="BL25" s="35"/>
      <c r="BM25" s="35"/>
      <c r="BN25" s="35"/>
      <c r="BO25" s="35"/>
      <c r="BP25" s="35"/>
      <c r="BQ25" s="35"/>
      <c r="BR25" s="35"/>
      <c r="BS25" s="35"/>
      <c r="BT25" s="35"/>
      <c r="BU25" s="35"/>
      <c r="BV25" s="35"/>
      <c r="BW25" s="35"/>
      <c r="BX25" s="35"/>
      <c r="BY25" s="35"/>
      <c r="BZ25" s="35"/>
      <c r="CA25" s="35"/>
      <c r="CB25" s="35"/>
      <c r="CC25" s="35"/>
      <c r="CD25" s="35"/>
      <c r="CE25" s="35"/>
      <c r="CF25" s="35"/>
      <c r="CG25" s="35"/>
      <c r="CH25" s="35"/>
      <c r="CI25" s="35"/>
      <c r="CJ25" s="35"/>
      <c r="CK25" s="35"/>
      <c r="CL25" s="35"/>
      <c r="CM25" s="35"/>
      <c r="CN25" s="35"/>
      <c r="CO25" s="35"/>
      <c r="CP25" s="35"/>
      <c r="CQ25" s="35"/>
      <c r="CR25" s="35"/>
      <c r="CS25" s="35"/>
      <c r="CT25" s="35"/>
      <c r="CU25" s="35"/>
      <c r="CV25" s="35"/>
      <c r="CW25" s="35"/>
      <c r="CX25" s="35"/>
      <c r="CY25" s="35"/>
      <c r="CZ25" s="35"/>
      <c r="DA25" s="35"/>
      <c r="DB25" s="35"/>
      <c r="DC25" s="35"/>
      <c r="DD25" s="35"/>
      <c r="DE25" s="35"/>
      <c r="DF25" s="35"/>
      <c r="DG25" s="35"/>
      <c r="DH25" s="35"/>
      <c r="DI25" s="35"/>
      <c r="DJ25" s="35"/>
      <c r="DK25" s="35"/>
      <c r="DL25" s="35"/>
      <c r="DM25" s="35"/>
      <c r="DN25" s="35"/>
      <c r="DO25" s="35"/>
      <c r="DP25" s="35"/>
      <c r="DQ25" s="35"/>
      <c r="DR25" s="35"/>
      <c r="DS25" s="35"/>
      <c r="DT25" s="35"/>
      <c r="DU25" s="35"/>
      <c r="DV25" s="35"/>
      <c r="DW25" s="35"/>
      <c r="DX25" s="35"/>
      <c r="DY25" s="35"/>
      <c r="DZ25" s="35"/>
      <c r="EA25" s="35"/>
      <c r="EB25" s="35"/>
      <c r="EC25" s="35"/>
      <c r="ED25" s="35"/>
      <c r="EE25" s="35"/>
      <c r="EF25" s="35"/>
      <c r="EG25" s="35"/>
      <c r="EH25" s="35"/>
      <c r="EI25" s="35"/>
      <c r="EJ25" s="35"/>
      <c r="EK25" s="35"/>
      <c r="EL25" s="35"/>
      <c r="EM25" s="35"/>
      <c r="EN25" s="35"/>
      <c r="EO25" s="35"/>
      <c r="EP25" s="35"/>
      <c r="EQ25" s="35"/>
      <c r="ER25" s="35"/>
      <c r="ES25" s="35"/>
      <c r="ET25" s="35"/>
      <c r="EU25" s="35"/>
      <c r="EV25" s="35"/>
      <c r="EW25" s="35"/>
      <c r="EX25" s="35"/>
      <c r="EY25" s="35"/>
      <c r="EZ25" s="35"/>
    </row>
    <row r="26" spans="1:156" ht="12.75" customHeight="1" x14ac:dyDescent="0.15">
      <c r="A26" s="39"/>
      <c r="B26" s="35"/>
      <c r="C26" s="35"/>
      <c r="D26" s="35"/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35"/>
      <c r="AL26" s="35"/>
      <c r="AM26" s="35"/>
      <c r="AN26" s="35"/>
      <c r="AO26" s="35"/>
      <c r="AP26" s="35"/>
      <c r="AQ26" s="35"/>
      <c r="AR26" s="35"/>
      <c r="AS26" s="35"/>
      <c r="AT26" s="35"/>
      <c r="AU26" s="35"/>
      <c r="AV26" s="35"/>
      <c r="AW26" s="35"/>
      <c r="AX26" s="35"/>
      <c r="AY26" s="35"/>
      <c r="AZ26" s="35"/>
      <c r="BA26" s="35"/>
      <c r="BB26" s="35"/>
      <c r="BC26" s="35"/>
      <c r="BD26" s="35"/>
      <c r="BE26" s="35"/>
      <c r="BF26" s="35"/>
      <c r="BG26" s="35"/>
      <c r="BH26" s="35"/>
      <c r="BI26" s="35"/>
      <c r="BJ26" s="35"/>
      <c r="BK26" s="35"/>
      <c r="BL26" s="35"/>
      <c r="BM26" s="35"/>
      <c r="BN26" s="35"/>
      <c r="BO26" s="35"/>
      <c r="BP26" s="35"/>
      <c r="BQ26" s="35"/>
      <c r="BR26" s="35"/>
      <c r="BS26" s="35"/>
      <c r="BT26" s="35"/>
      <c r="BU26" s="35"/>
      <c r="BV26" s="35"/>
      <c r="BW26" s="35"/>
      <c r="BX26" s="35"/>
      <c r="BY26" s="35"/>
      <c r="BZ26" s="35"/>
      <c r="CA26" s="35"/>
      <c r="CB26" s="35"/>
      <c r="CC26" s="35"/>
      <c r="CD26" s="35"/>
      <c r="CE26" s="35"/>
      <c r="CF26" s="35"/>
      <c r="CG26" s="35"/>
      <c r="CH26" s="35"/>
      <c r="CI26" s="35"/>
      <c r="CJ26" s="35"/>
      <c r="CK26" s="35"/>
      <c r="CL26" s="35"/>
      <c r="CM26" s="35"/>
      <c r="CN26" s="35"/>
      <c r="CO26" s="35"/>
      <c r="CP26" s="35"/>
      <c r="CQ26" s="35"/>
      <c r="CR26" s="35"/>
      <c r="CS26" s="35"/>
      <c r="CT26" s="35"/>
      <c r="CU26" s="35"/>
      <c r="CV26" s="35"/>
      <c r="CW26" s="35"/>
      <c r="CX26" s="35"/>
      <c r="CY26" s="35"/>
      <c r="CZ26" s="35"/>
      <c r="DA26" s="35"/>
      <c r="DB26" s="35"/>
      <c r="DC26" s="35"/>
      <c r="DD26" s="35"/>
      <c r="DE26" s="35"/>
      <c r="DF26" s="35"/>
      <c r="DG26" s="35"/>
      <c r="DH26" s="35"/>
      <c r="DI26" s="35"/>
      <c r="DJ26" s="35"/>
      <c r="DK26" s="35"/>
      <c r="DL26" s="35"/>
      <c r="DM26" s="35"/>
      <c r="DN26" s="35"/>
      <c r="DO26" s="35"/>
      <c r="DP26" s="35"/>
      <c r="DQ26" s="35"/>
      <c r="DR26" s="35"/>
      <c r="DS26" s="35"/>
      <c r="DT26" s="35"/>
      <c r="DU26" s="35"/>
      <c r="DV26" s="35"/>
      <c r="DW26" s="35"/>
      <c r="DX26" s="35"/>
      <c r="DY26" s="35"/>
      <c r="DZ26" s="35"/>
      <c r="EA26" s="35"/>
      <c r="EB26" s="35"/>
      <c r="EC26" s="35"/>
      <c r="ED26" s="35"/>
      <c r="EE26" s="35"/>
      <c r="EF26" s="35"/>
      <c r="EG26" s="35"/>
      <c r="EH26" s="35"/>
      <c r="EI26" s="35"/>
      <c r="EJ26" s="35"/>
      <c r="EK26" s="35"/>
      <c r="EL26" s="35"/>
      <c r="EM26" s="35"/>
      <c r="EN26" s="35"/>
      <c r="EO26" s="35"/>
      <c r="EP26" s="35"/>
      <c r="EQ26" s="35"/>
      <c r="ER26" s="35"/>
      <c r="ES26" s="35"/>
      <c r="ET26" s="35"/>
      <c r="EU26" s="35"/>
      <c r="EV26" s="35"/>
      <c r="EW26" s="35"/>
      <c r="EX26" s="35"/>
      <c r="EY26" s="35"/>
      <c r="EZ26" s="35"/>
    </row>
    <row r="27" spans="1:156" ht="12.75" customHeight="1" x14ac:dyDescent="0.15">
      <c r="A27" s="39"/>
      <c r="B27" s="35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5"/>
      <c r="AJ27" s="35"/>
      <c r="AK27" s="35"/>
      <c r="AL27" s="35"/>
      <c r="AM27" s="35"/>
      <c r="AN27" s="35"/>
      <c r="AO27" s="35"/>
      <c r="AP27" s="35"/>
      <c r="AQ27" s="35"/>
      <c r="AR27" s="35"/>
      <c r="AS27" s="35"/>
      <c r="AT27" s="35"/>
      <c r="AU27" s="35"/>
      <c r="AV27" s="35"/>
      <c r="AW27" s="35"/>
      <c r="AX27" s="35"/>
      <c r="AY27" s="35"/>
      <c r="AZ27" s="35"/>
      <c r="BA27" s="35"/>
      <c r="BB27" s="35"/>
      <c r="BC27" s="35"/>
      <c r="BD27" s="35"/>
      <c r="BE27" s="35"/>
      <c r="BF27" s="35"/>
      <c r="BG27" s="35"/>
      <c r="BH27" s="35"/>
      <c r="BI27" s="35"/>
      <c r="BJ27" s="35"/>
      <c r="BK27" s="35"/>
      <c r="BL27" s="35"/>
      <c r="BM27" s="35"/>
      <c r="BN27" s="35"/>
      <c r="BO27" s="35"/>
      <c r="BP27" s="35"/>
      <c r="BQ27" s="35"/>
      <c r="BR27" s="35"/>
      <c r="BS27" s="35"/>
      <c r="BT27" s="35"/>
      <c r="BU27" s="35"/>
      <c r="BV27" s="35"/>
      <c r="BW27" s="35"/>
      <c r="BX27" s="35"/>
      <c r="BY27" s="35"/>
      <c r="BZ27" s="35"/>
      <c r="CA27" s="35"/>
      <c r="CB27" s="35"/>
      <c r="CC27" s="35"/>
      <c r="CD27" s="35"/>
      <c r="CE27" s="35"/>
      <c r="CF27" s="35"/>
      <c r="CG27" s="35"/>
      <c r="CH27" s="35"/>
      <c r="CI27" s="35"/>
      <c r="CJ27" s="35"/>
      <c r="CK27" s="35"/>
      <c r="CL27" s="35"/>
      <c r="CM27" s="35"/>
      <c r="CN27" s="35"/>
      <c r="CO27" s="35"/>
      <c r="CP27" s="35"/>
      <c r="CQ27" s="35"/>
      <c r="CR27" s="35"/>
      <c r="CS27" s="35"/>
      <c r="CT27" s="35"/>
      <c r="CU27" s="35"/>
      <c r="CV27" s="35"/>
      <c r="CW27" s="35"/>
      <c r="CX27" s="35"/>
      <c r="CY27" s="35"/>
      <c r="CZ27" s="35"/>
      <c r="DA27" s="35"/>
      <c r="DB27" s="35"/>
      <c r="DC27" s="35"/>
      <c r="DD27" s="35"/>
      <c r="DE27" s="35"/>
      <c r="DF27" s="35"/>
      <c r="DG27" s="35"/>
      <c r="DH27" s="35"/>
      <c r="DI27" s="35"/>
      <c r="DJ27" s="35"/>
      <c r="DK27" s="35"/>
      <c r="DL27" s="35"/>
      <c r="DM27" s="35"/>
      <c r="DN27" s="35"/>
      <c r="DO27" s="35"/>
      <c r="DP27" s="35"/>
      <c r="DQ27" s="35"/>
      <c r="DR27" s="35"/>
      <c r="DS27" s="35"/>
      <c r="DT27" s="35"/>
      <c r="DU27" s="35"/>
      <c r="DV27" s="35"/>
      <c r="DW27" s="35"/>
      <c r="DX27" s="35"/>
      <c r="DY27" s="35"/>
      <c r="DZ27" s="35"/>
      <c r="EA27" s="35"/>
      <c r="EB27" s="35"/>
      <c r="EC27" s="35"/>
      <c r="ED27" s="35"/>
      <c r="EE27" s="35"/>
      <c r="EF27" s="35"/>
      <c r="EG27" s="35"/>
      <c r="EH27" s="35"/>
      <c r="EI27" s="35"/>
      <c r="EJ27" s="35"/>
      <c r="EK27" s="35"/>
      <c r="EL27" s="35"/>
      <c r="EM27" s="35"/>
      <c r="EN27" s="35"/>
      <c r="EO27" s="35"/>
      <c r="EP27" s="35"/>
      <c r="EQ27" s="35"/>
      <c r="ER27" s="35"/>
      <c r="ES27" s="35"/>
      <c r="ET27" s="35"/>
      <c r="EU27" s="35"/>
      <c r="EV27" s="35"/>
      <c r="EW27" s="35"/>
      <c r="EX27" s="35"/>
      <c r="EY27" s="35"/>
      <c r="EZ27" s="35"/>
    </row>
    <row r="28" spans="1:156" ht="12.75" customHeight="1" x14ac:dyDescent="0.15">
      <c r="A28" s="39"/>
      <c r="B28" s="35"/>
      <c r="C28" s="35"/>
      <c r="D28" s="35"/>
      <c r="E28" s="35"/>
      <c r="F28" s="35"/>
      <c r="G28" s="35"/>
      <c r="H28" s="35"/>
      <c r="I28" s="35"/>
      <c r="J28" s="35"/>
      <c r="K28" s="35"/>
      <c r="L28" s="35"/>
      <c r="M28" s="35"/>
      <c r="N28" s="35"/>
      <c r="O28" s="35"/>
      <c r="P28" s="35"/>
      <c r="Q28" s="35"/>
      <c r="R28" s="35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  <c r="AF28" s="35"/>
      <c r="AG28" s="35"/>
      <c r="AH28" s="35"/>
      <c r="AI28" s="35"/>
      <c r="AJ28" s="35"/>
      <c r="AK28" s="35"/>
      <c r="AL28" s="35"/>
      <c r="AM28" s="35"/>
      <c r="AN28" s="35"/>
      <c r="AO28" s="35"/>
      <c r="AP28" s="35"/>
      <c r="AQ28" s="35"/>
      <c r="AR28" s="35"/>
      <c r="AS28" s="35"/>
      <c r="AT28" s="35"/>
      <c r="AU28" s="35"/>
      <c r="AV28" s="35"/>
      <c r="AW28" s="35"/>
      <c r="AX28" s="35"/>
      <c r="AY28" s="35"/>
      <c r="AZ28" s="35"/>
      <c r="BA28" s="35"/>
      <c r="BB28" s="35"/>
      <c r="BC28" s="35"/>
      <c r="BD28" s="35"/>
      <c r="BE28" s="35"/>
      <c r="BF28" s="35"/>
      <c r="BG28" s="35"/>
      <c r="BH28" s="35"/>
      <c r="BI28" s="35"/>
      <c r="BJ28" s="35"/>
      <c r="BK28" s="35"/>
      <c r="BL28" s="35"/>
      <c r="BM28" s="35"/>
      <c r="BN28" s="35"/>
      <c r="BO28" s="35"/>
      <c r="BP28" s="35"/>
      <c r="BQ28" s="35"/>
      <c r="BR28" s="35"/>
      <c r="BS28" s="35"/>
      <c r="BT28" s="35"/>
      <c r="BU28" s="35"/>
      <c r="BV28" s="35"/>
      <c r="BW28" s="35"/>
      <c r="BX28" s="35"/>
      <c r="BY28" s="35"/>
      <c r="BZ28" s="35"/>
      <c r="CA28" s="35"/>
      <c r="CB28" s="35"/>
      <c r="CC28" s="35"/>
      <c r="CD28" s="35"/>
      <c r="CE28" s="35"/>
      <c r="CF28" s="35"/>
      <c r="CG28" s="35"/>
      <c r="CH28" s="35"/>
      <c r="CI28" s="35"/>
      <c r="CJ28" s="35"/>
      <c r="CK28" s="35"/>
      <c r="CL28" s="35"/>
      <c r="CM28" s="35"/>
      <c r="CN28" s="35"/>
      <c r="CO28" s="35"/>
      <c r="CP28" s="35"/>
      <c r="CQ28" s="35"/>
      <c r="CR28" s="35"/>
      <c r="CS28" s="35"/>
      <c r="CT28" s="35"/>
      <c r="CU28" s="35"/>
      <c r="CV28" s="35"/>
      <c r="CW28" s="35"/>
      <c r="CX28" s="35"/>
      <c r="CY28" s="35"/>
      <c r="CZ28" s="35"/>
      <c r="DA28" s="35"/>
      <c r="DB28" s="35"/>
      <c r="DC28" s="35"/>
      <c r="DD28" s="35"/>
      <c r="DE28" s="35"/>
      <c r="DF28" s="35"/>
      <c r="DG28" s="35"/>
      <c r="DH28" s="35"/>
      <c r="DI28" s="35"/>
      <c r="DJ28" s="35"/>
      <c r="DK28" s="35"/>
      <c r="DL28" s="35"/>
      <c r="DM28" s="35"/>
      <c r="DN28" s="35"/>
      <c r="DO28" s="35"/>
      <c r="DP28" s="35"/>
      <c r="DQ28" s="35"/>
      <c r="DR28" s="35"/>
      <c r="DS28" s="35"/>
      <c r="DT28" s="35"/>
      <c r="DU28" s="35"/>
      <c r="DV28" s="35"/>
      <c r="DW28" s="35"/>
      <c r="DX28" s="35"/>
      <c r="DY28" s="35"/>
      <c r="DZ28" s="35"/>
      <c r="EA28" s="35"/>
      <c r="EB28" s="35"/>
      <c r="EC28" s="35"/>
      <c r="ED28" s="35"/>
      <c r="EE28" s="35"/>
      <c r="EF28" s="35"/>
      <c r="EG28" s="35"/>
      <c r="EH28" s="35"/>
      <c r="EI28" s="35"/>
      <c r="EJ28" s="35"/>
      <c r="EK28" s="35"/>
      <c r="EL28" s="35"/>
      <c r="EM28" s="35"/>
      <c r="EN28" s="35"/>
      <c r="EO28" s="35"/>
      <c r="EP28" s="35"/>
      <c r="EQ28" s="35"/>
      <c r="ER28" s="35"/>
      <c r="ES28" s="35"/>
      <c r="ET28" s="35"/>
      <c r="EU28" s="35"/>
      <c r="EV28" s="35"/>
      <c r="EW28" s="35"/>
      <c r="EX28" s="35"/>
      <c r="EY28" s="35"/>
      <c r="EZ28" s="35"/>
    </row>
    <row r="29" spans="1:156" ht="12.75" customHeight="1" x14ac:dyDescent="0.15">
      <c r="A29" s="39"/>
      <c r="B29" s="35"/>
      <c r="C29" s="35"/>
      <c r="D29" s="35"/>
      <c r="E29" s="35"/>
      <c r="F29" s="35"/>
      <c r="G29" s="35"/>
      <c r="H29" s="35"/>
      <c r="I29" s="35"/>
      <c r="J29" s="35"/>
      <c r="K29" s="35"/>
      <c r="L29" s="35"/>
      <c r="M29" s="35"/>
      <c r="N29" s="35"/>
      <c r="O29" s="35"/>
      <c r="P29" s="35"/>
      <c r="Q29" s="35"/>
      <c r="R29" s="35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  <c r="AF29" s="35"/>
      <c r="AG29" s="35"/>
      <c r="AH29" s="35"/>
      <c r="AI29" s="35"/>
      <c r="AJ29" s="35"/>
      <c r="AK29" s="35"/>
      <c r="AL29" s="35"/>
      <c r="AM29" s="35"/>
      <c r="AN29" s="35"/>
      <c r="AO29" s="35"/>
      <c r="AP29" s="35"/>
      <c r="AQ29" s="35"/>
      <c r="AR29" s="35"/>
      <c r="AS29" s="35"/>
      <c r="AT29" s="35"/>
      <c r="AU29" s="35"/>
      <c r="AV29" s="35"/>
      <c r="AW29" s="35"/>
      <c r="AX29" s="35"/>
      <c r="AY29" s="35"/>
      <c r="AZ29" s="35"/>
      <c r="BA29" s="35"/>
      <c r="BB29" s="35"/>
      <c r="BC29" s="35"/>
      <c r="BD29" s="35"/>
      <c r="BE29" s="35"/>
      <c r="BF29" s="35"/>
      <c r="BG29" s="35"/>
      <c r="BH29" s="35"/>
      <c r="BI29" s="35"/>
      <c r="BJ29" s="35"/>
      <c r="BK29" s="35"/>
      <c r="BL29" s="35"/>
      <c r="BM29" s="35"/>
      <c r="BN29" s="35"/>
      <c r="BO29" s="35"/>
      <c r="BP29" s="35"/>
      <c r="BQ29" s="35"/>
      <c r="BR29" s="35"/>
      <c r="BS29" s="35"/>
      <c r="BT29" s="35"/>
      <c r="BU29" s="35"/>
      <c r="BV29" s="35"/>
      <c r="BW29" s="35"/>
      <c r="BX29" s="35"/>
      <c r="BY29" s="35"/>
      <c r="BZ29" s="35"/>
      <c r="CA29" s="35"/>
      <c r="CB29" s="35"/>
      <c r="CC29" s="35"/>
      <c r="CD29" s="35"/>
      <c r="CE29" s="35"/>
      <c r="CF29" s="35"/>
      <c r="CG29" s="35"/>
      <c r="CH29" s="35"/>
      <c r="CI29" s="35"/>
      <c r="CJ29" s="35"/>
      <c r="CK29" s="35"/>
      <c r="CL29" s="35"/>
      <c r="CM29" s="35"/>
      <c r="CN29" s="35"/>
      <c r="CO29" s="35"/>
      <c r="CP29" s="35"/>
      <c r="CQ29" s="35"/>
      <c r="CR29" s="35"/>
      <c r="CS29" s="35"/>
      <c r="CT29" s="35"/>
      <c r="CU29" s="35"/>
      <c r="CV29" s="35"/>
      <c r="CW29" s="35"/>
      <c r="CX29" s="35"/>
      <c r="CY29" s="35"/>
      <c r="CZ29" s="35"/>
      <c r="DA29" s="35"/>
      <c r="DB29" s="35"/>
      <c r="DC29" s="35"/>
      <c r="DD29" s="35"/>
      <c r="DE29" s="35"/>
      <c r="DF29" s="35"/>
      <c r="DG29" s="35"/>
      <c r="DH29" s="35"/>
      <c r="DI29" s="35"/>
      <c r="DJ29" s="35"/>
      <c r="DK29" s="35"/>
      <c r="DL29" s="35"/>
      <c r="DM29" s="35"/>
      <c r="DN29" s="35"/>
      <c r="DO29" s="35"/>
      <c r="DP29" s="35"/>
      <c r="DQ29" s="35"/>
      <c r="DR29" s="35"/>
      <c r="DS29" s="35"/>
      <c r="DT29" s="35"/>
      <c r="DU29" s="35"/>
      <c r="DV29" s="35"/>
      <c r="DW29" s="35"/>
      <c r="DX29" s="35"/>
      <c r="DY29" s="35"/>
      <c r="DZ29" s="35"/>
      <c r="EA29" s="35"/>
      <c r="EB29" s="35"/>
      <c r="EC29" s="35"/>
      <c r="ED29" s="35"/>
      <c r="EE29" s="35"/>
      <c r="EF29" s="35"/>
      <c r="EG29" s="35"/>
      <c r="EH29" s="35"/>
      <c r="EI29" s="35"/>
      <c r="EJ29" s="35"/>
      <c r="EK29" s="35"/>
      <c r="EL29" s="35"/>
      <c r="EM29" s="35"/>
      <c r="EN29" s="35"/>
      <c r="EO29" s="35"/>
      <c r="EP29" s="35"/>
      <c r="EQ29" s="35"/>
      <c r="ER29" s="35"/>
      <c r="ES29" s="35"/>
      <c r="ET29" s="35"/>
      <c r="EU29" s="35"/>
      <c r="EV29" s="35"/>
      <c r="EW29" s="35"/>
      <c r="EX29" s="35"/>
      <c r="EY29" s="35"/>
      <c r="EZ29" s="35"/>
    </row>
    <row r="30" spans="1:156" ht="12.75" customHeight="1" x14ac:dyDescent="0.15">
      <c r="A30" s="39"/>
      <c r="B30" s="35"/>
      <c r="C30" s="35"/>
      <c r="D30" s="35"/>
      <c r="E30" s="35"/>
      <c r="F30" s="35"/>
      <c r="G30" s="35"/>
      <c r="H30" s="35"/>
      <c r="I30" s="35"/>
      <c r="J30" s="35"/>
      <c r="K30" s="35"/>
      <c r="L30" s="35"/>
      <c r="M30" s="35"/>
      <c r="N30" s="35"/>
      <c r="O30" s="35"/>
      <c r="P30" s="35"/>
      <c r="Q30" s="35"/>
      <c r="R30" s="35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  <c r="AF30" s="35"/>
      <c r="AG30" s="35"/>
      <c r="AH30" s="35"/>
      <c r="AI30" s="35"/>
      <c r="AJ30" s="35"/>
      <c r="AK30" s="35"/>
      <c r="AL30" s="35"/>
      <c r="AM30" s="35"/>
      <c r="AN30" s="35"/>
      <c r="AO30" s="35"/>
      <c r="AP30" s="35"/>
      <c r="AQ30" s="35"/>
      <c r="AR30" s="35"/>
      <c r="AS30" s="35"/>
      <c r="AT30" s="35"/>
      <c r="AU30" s="35"/>
      <c r="AV30" s="35"/>
      <c r="AW30" s="35"/>
      <c r="AX30" s="35"/>
      <c r="AY30" s="35"/>
      <c r="AZ30" s="35"/>
      <c r="BA30" s="35"/>
      <c r="BB30" s="35"/>
      <c r="BC30" s="35"/>
      <c r="BD30" s="35"/>
      <c r="BE30" s="35"/>
      <c r="BF30" s="35"/>
      <c r="BG30" s="35"/>
      <c r="BH30" s="35"/>
      <c r="BI30" s="35"/>
      <c r="BJ30" s="35"/>
      <c r="BK30" s="35"/>
      <c r="BL30" s="35"/>
      <c r="BM30" s="35"/>
      <c r="BN30" s="35"/>
      <c r="BO30" s="35"/>
      <c r="BP30" s="35"/>
      <c r="BQ30" s="35"/>
      <c r="BR30" s="35"/>
      <c r="BS30" s="35"/>
      <c r="BT30" s="35"/>
      <c r="BU30" s="35"/>
      <c r="BV30" s="35"/>
      <c r="BW30" s="35"/>
      <c r="BX30" s="35"/>
      <c r="BY30" s="35"/>
      <c r="BZ30" s="35"/>
      <c r="CA30" s="35"/>
      <c r="CB30" s="35"/>
      <c r="CC30" s="35"/>
      <c r="CD30" s="35"/>
      <c r="CE30" s="35"/>
      <c r="CF30" s="35"/>
      <c r="CG30" s="35"/>
      <c r="CH30" s="35"/>
      <c r="CI30" s="35"/>
      <c r="CJ30" s="35"/>
      <c r="CK30" s="35"/>
      <c r="CL30" s="35"/>
      <c r="CM30" s="35"/>
      <c r="CN30" s="35"/>
      <c r="CO30" s="35"/>
      <c r="CP30" s="35"/>
      <c r="CQ30" s="35"/>
      <c r="CR30" s="35"/>
      <c r="CS30" s="35"/>
      <c r="CT30" s="35"/>
      <c r="CU30" s="35"/>
      <c r="CV30" s="35"/>
      <c r="CW30" s="35"/>
      <c r="CX30" s="35"/>
      <c r="CY30" s="35"/>
      <c r="CZ30" s="35"/>
      <c r="DA30" s="35"/>
      <c r="DB30" s="35"/>
      <c r="DC30" s="35"/>
      <c r="DD30" s="35"/>
      <c r="DE30" s="35"/>
      <c r="DF30" s="35"/>
      <c r="DG30" s="35"/>
      <c r="DH30" s="35"/>
      <c r="DI30" s="35"/>
      <c r="DJ30" s="35"/>
      <c r="DK30" s="35"/>
      <c r="DL30" s="35"/>
      <c r="DM30" s="35"/>
      <c r="DN30" s="35"/>
      <c r="DO30" s="35"/>
      <c r="DP30" s="35"/>
      <c r="DQ30" s="35"/>
      <c r="DR30" s="35"/>
      <c r="DS30" s="35"/>
      <c r="DT30" s="35"/>
      <c r="DU30" s="35"/>
      <c r="DV30" s="35"/>
      <c r="DW30" s="35"/>
      <c r="DX30" s="35"/>
      <c r="DY30" s="35"/>
      <c r="DZ30" s="35"/>
      <c r="EA30" s="35"/>
      <c r="EB30" s="35"/>
      <c r="EC30" s="35"/>
      <c r="ED30" s="35"/>
      <c r="EE30" s="35"/>
      <c r="EF30" s="35"/>
      <c r="EG30" s="35"/>
      <c r="EH30" s="35"/>
      <c r="EI30" s="35"/>
      <c r="EJ30" s="35"/>
      <c r="EK30" s="35"/>
      <c r="EL30" s="35"/>
      <c r="EM30" s="35"/>
      <c r="EN30" s="35"/>
      <c r="EO30" s="35"/>
      <c r="EP30" s="35"/>
      <c r="EQ30" s="35"/>
      <c r="ER30" s="35"/>
      <c r="ES30" s="35"/>
      <c r="ET30" s="35"/>
      <c r="EU30" s="35"/>
      <c r="EV30" s="35"/>
      <c r="EW30" s="35"/>
      <c r="EX30" s="35"/>
      <c r="EY30" s="35"/>
      <c r="EZ30" s="35"/>
    </row>
    <row r="31" spans="1:156" ht="12.75" customHeight="1" x14ac:dyDescent="0.15">
      <c r="A31" s="39"/>
      <c r="B31" s="35"/>
      <c r="C31" s="35"/>
      <c r="D31" s="35"/>
      <c r="E31" s="35"/>
      <c r="F31" s="35"/>
      <c r="G31" s="35"/>
      <c r="H31" s="35"/>
      <c r="I31" s="35"/>
      <c r="J31" s="35"/>
      <c r="K31" s="35"/>
      <c r="L31" s="35"/>
      <c r="M31" s="35"/>
      <c r="N31" s="35"/>
      <c r="O31" s="35"/>
      <c r="P31" s="35"/>
      <c r="Q31" s="35"/>
      <c r="R31" s="35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  <c r="AF31" s="35"/>
      <c r="AG31" s="35"/>
      <c r="AH31" s="35"/>
      <c r="AI31" s="35"/>
      <c r="AJ31" s="35"/>
      <c r="AK31" s="35"/>
      <c r="AL31" s="35"/>
      <c r="AM31" s="35"/>
      <c r="AN31" s="35"/>
      <c r="AO31" s="35"/>
      <c r="AP31" s="35"/>
      <c r="AQ31" s="35"/>
      <c r="AR31" s="35"/>
      <c r="AS31" s="35"/>
      <c r="AT31" s="35"/>
      <c r="AU31" s="35"/>
      <c r="AV31" s="35"/>
      <c r="AW31" s="35"/>
      <c r="AX31" s="35"/>
      <c r="AY31" s="35"/>
      <c r="AZ31" s="35"/>
      <c r="BA31" s="35"/>
      <c r="BB31" s="35"/>
      <c r="BC31" s="35"/>
      <c r="BD31" s="35"/>
      <c r="BE31" s="35"/>
      <c r="BF31" s="35"/>
      <c r="BG31" s="35"/>
      <c r="BH31" s="35"/>
      <c r="BI31" s="35"/>
      <c r="BJ31" s="35"/>
      <c r="BK31" s="35"/>
      <c r="BL31" s="35"/>
      <c r="BM31" s="35"/>
      <c r="BN31" s="35"/>
      <c r="BO31" s="35"/>
      <c r="BP31" s="35"/>
      <c r="BQ31" s="35"/>
      <c r="BR31" s="35"/>
      <c r="BS31" s="35"/>
      <c r="BT31" s="35"/>
      <c r="BU31" s="35"/>
      <c r="BV31" s="35"/>
      <c r="BW31" s="35"/>
      <c r="BX31" s="35"/>
      <c r="BY31" s="35"/>
      <c r="BZ31" s="35"/>
      <c r="CA31" s="35"/>
      <c r="CB31" s="35"/>
      <c r="CC31" s="35"/>
      <c r="CD31" s="35"/>
      <c r="CE31" s="35"/>
      <c r="CF31" s="35"/>
      <c r="CG31" s="35"/>
      <c r="CH31" s="35"/>
      <c r="CI31" s="35"/>
      <c r="CJ31" s="35"/>
      <c r="CK31" s="35"/>
      <c r="CL31" s="35"/>
      <c r="CM31" s="35"/>
      <c r="CN31" s="35"/>
      <c r="CO31" s="35"/>
      <c r="CP31" s="35"/>
      <c r="CQ31" s="35"/>
      <c r="CR31" s="35"/>
      <c r="CS31" s="35"/>
      <c r="CT31" s="35"/>
      <c r="CU31" s="35"/>
      <c r="CV31" s="35"/>
      <c r="CW31" s="35"/>
      <c r="CX31" s="35"/>
      <c r="CY31" s="35"/>
      <c r="CZ31" s="35"/>
      <c r="DA31" s="35"/>
      <c r="DB31" s="35"/>
      <c r="DC31" s="35"/>
      <c r="DD31" s="35"/>
      <c r="DE31" s="35"/>
      <c r="DF31" s="35"/>
      <c r="DG31" s="35"/>
      <c r="DH31" s="35"/>
      <c r="DI31" s="35"/>
      <c r="DJ31" s="35"/>
      <c r="DK31" s="35"/>
      <c r="DL31" s="35"/>
      <c r="DM31" s="35"/>
      <c r="DN31" s="35"/>
      <c r="DO31" s="35"/>
      <c r="DP31" s="35"/>
      <c r="DQ31" s="35"/>
      <c r="DR31" s="35"/>
      <c r="DS31" s="35"/>
      <c r="DT31" s="35"/>
      <c r="DU31" s="35"/>
      <c r="DV31" s="35"/>
      <c r="DW31" s="35"/>
      <c r="DX31" s="35"/>
      <c r="DY31" s="35"/>
      <c r="DZ31" s="35"/>
      <c r="EA31" s="35"/>
      <c r="EB31" s="35"/>
      <c r="EC31" s="35"/>
      <c r="ED31" s="35"/>
      <c r="EE31" s="35"/>
      <c r="EF31" s="35"/>
      <c r="EG31" s="35"/>
      <c r="EH31" s="35"/>
      <c r="EI31" s="35"/>
      <c r="EJ31" s="35"/>
      <c r="EK31" s="35"/>
      <c r="EL31" s="35"/>
      <c r="EM31" s="35"/>
      <c r="EN31" s="35"/>
      <c r="EO31" s="35"/>
      <c r="EP31" s="35"/>
      <c r="EQ31" s="35"/>
      <c r="ER31" s="35"/>
      <c r="ES31" s="35"/>
      <c r="ET31" s="35"/>
      <c r="EU31" s="35"/>
      <c r="EV31" s="35"/>
      <c r="EW31" s="35"/>
      <c r="EX31" s="35"/>
      <c r="EY31" s="35"/>
      <c r="EZ31" s="35"/>
    </row>
    <row r="32" spans="1:156" x14ac:dyDescent="0.15">
      <c r="A32" s="39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  <c r="AF32" s="35"/>
      <c r="AG32" s="35"/>
      <c r="AH32" s="35"/>
      <c r="AI32" s="35"/>
      <c r="AJ32" s="35"/>
      <c r="AK32" s="35"/>
      <c r="AL32" s="35"/>
      <c r="AM32" s="35"/>
      <c r="AN32" s="35"/>
      <c r="AO32" s="35"/>
      <c r="AP32" s="35"/>
      <c r="AQ32" s="35"/>
      <c r="AR32" s="35"/>
      <c r="AS32" s="35"/>
      <c r="AT32" s="35"/>
      <c r="AU32" s="35"/>
      <c r="AV32" s="35"/>
      <c r="AW32" s="35"/>
      <c r="AX32" s="35"/>
      <c r="AY32" s="35"/>
      <c r="AZ32" s="35"/>
      <c r="BA32" s="35"/>
      <c r="BB32" s="35"/>
      <c r="BC32" s="35"/>
      <c r="BD32" s="35"/>
      <c r="BE32" s="35"/>
      <c r="BF32" s="35"/>
      <c r="BG32" s="35"/>
      <c r="BH32" s="35"/>
      <c r="BI32" s="35"/>
      <c r="BJ32" s="35"/>
      <c r="BK32" s="35"/>
      <c r="BL32" s="35"/>
      <c r="BM32" s="35"/>
      <c r="BN32" s="35"/>
      <c r="BO32" s="35"/>
      <c r="BP32" s="35"/>
      <c r="BQ32" s="35"/>
      <c r="BR32" s="35"/>
      <c r="BS32" s="35"/>
      <c r="BT32" s="35"/>
      <c r="BU32" s="35"/>
      <c r="BV32" s="35"/>
      <c r="BW32" s="35"/>
      <c r="BX32" s="35"/>
      <c r="BY32" s="35"/>
      <c r="BZ32" s="35"/>
      <c r="CA32" s="35"/>
      <c r="CB32" s="35"/>
      <c r="CC32" s="35"/>
      <c r="CD32" s="35"/>
      <c r="CE32" s="35"/>
      <c r="CF32" s="35"/>
      <c r="CG32" s="35"/>
      <c r="CH32" s="35"/>
      <c r="CI32" s="35"/>
      <c r="CJ32" s="35"/>
      <c r="CK32" s="35"/>
      <c r="CL32" s="35"/>
      <c r="CM32" s="35"/>
      <c r="CN32" s="35"/>
      <c r="CO32" s="35"/>
      <c r="CP32" s="35"/>
      <c r="CQ32" s="35"/>
      <c r="CR32" s="35"/>
      <c r="CS32" s="35"/>
      <c r="CT32" s="35"/>
      <c r="CU32" s="35"/>
      <c r="CV32" s="35"/>
      <c r="CW32" s="35"/>
      <c r="CX32" s="35"/>
      <c r="CY32" s="35"/>
      <c r="CZ32" s="35"/>
      <c r="DA32" s="35"/>
      <c r="DB32" s="35"/>
      <c r="DC32" s="35"/>
      <c r="DD32" s="35"/>
      <c r="DE32" s="35"/>
      <c r="DF32" s="35"/>
      <c r="DG32" s="35"/>
      <c r="DH32" s="35"/>
      <c r="DI32" s="35"/>
      <c r="DJ32" s="35"/>
      <c r="DK32" s="35"/>
      <c r="DL32" s="35"/>
      <c r="DM32" s="35"/>
      <c r="DN32" s="35"/>
      <c r="DO32" s="35"/>
      <c r="DP32" s="35"/>
      <c r="DQ32" s="35"/>
      <c r="DR32" s="35"/>
      <c r="DS32" s="35"/>
      <c r="DT32" s="35"/>
      <c r="DU32" s="35"/>
      <c r="DV32" s="35"/>
      <c r="DW32" s="35"/>
      <c r="DX32" s="35"/>
      <c r="DY32" s="35"/>
      <c r="DZ32" s="35"/>
      <c r="EA32" s="35"/>
      <c r="EB32" s="35"/>
      <c r="EC32" s="35"/>
      <c r="ED32" s="35"/>
      <c r="EE32" s="35"/>
      <c r="EF32" s="35"/>
      <c r="EG32" s="35"/>
      <c r="EH32" s="35"/>
      <c r="EI32" s="35"/>
      <c r="EJ32" s="35"/>
      <c r="EK32" s="35"/>
      <c r="EL32" s="35"/>
      <c r="EM32" s="35"/>
      <c r="EN32" s="35"/>
      <c r="EO32" s="35"/>
      <c r="EP32" s="35"/>
      <c r="EQ32" s="35"/>
      <c r="ER32" s="35"/>
      <c r="ES32" s="35"/>
      <c r="ET32" s="35"/>
      <c r="EU32" s="35"/>
      <c r="EV32" s="35"/>
      <c r="EW32" s="35"/>
      <c r="EX32" s="35"/>
      <c r="EY32" s="35"/>
      <c r="EZ32" s="35"/>
    </row>
    <row r="33" spans="1:156" x14ac:dyDescent="0.15">
      <c r="A33" s="39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  <c r="AF33" s="35"/>
      <c r="AG33" s="35"/>
      <c r="AH33" s="35"/>
      <c r="AI33" s="35"/>
      <c r="AJ33" s="35"/>
      <c r="AK33" s="35"/>
      <c r="AL33" s="35"/>
      <c r="AM33" s="35"/>
      <c r="AN33" s="35"/>
      <c r="AO33" s="35"/>
      <c r="AP33" s="35"/>
      <c r="AQ33" s="35"/>
      <c r="AR33" s="35"/>
      <c r="AS33" s="35"/>
      <c r="AT33" s="35"/>
      <c r="AU33" s="35"/>
      <c r="AV33" s="35"/>
      <c r="AW33" s="35"/>
      <c r="AX33" s="35"/>
      <c r="AY33" s="35"/>
      <c r="AZ33" s="35"/>
      <c r="BA33" s="35"/>
      <c r="BB33" s="35"/>
      <c r="BC33" s="35"/>
      <c r="BD33" s="35"/>
      <c r="BE33" s="35"/>
      <c r="BF33" s="35"/>
      <c r="BG33" s="35"/>
      <c r="BH33" s="35"/>
      <c r="BI33" s="35"/>
      <c r="BJ33" s="35"/>
      <c r="BK33" s="35"/>
      <c r="BL33" s="35"/>
      <c r="BM33" s="35"/>
      <c r="BN33" s="35"/>
      <c r="BO33" s="35"/>
      <c r="BP33" s="35"/>
      <c r="BQ33" s="35"/>
      <c r="BR33" s="35"/>
      <c r="BS33" s="35"/>
      <c r="BT33" s="35"/>
      <c r="BU33" s="35"/>
      <c r="BV33" s="35"/>
      <c r="BW33" s="35"/>
      <c r="BX33" s="35"/>
      <c r="BY33" s="35"/>
      <c r="BZ33" s="35"/>
      <c r="CA33" s="35"/>
      <c r="CB33" s="35"/>
      <c r="CC33" s="35"/>
      <c r="CD33" s="35"/>
      <c r="CE33" s="35"/>
      <c r="CF33" s="35"/>
      <c r="CG33" s="35"/>
      <c r="CH33" s="35"/>
      <c r="CI33" s="35"/>
      <c r="CJ33" s="35"/>
      <c r="CK33" s="35"/>
      <c r="CL33" s="35"/>
      <c r="CM33" s="35"/>
      <c r="CN33" s="35"/>
      <c r="CO33" s="35"/>
      <c r="CP33" s="35"/>
      <c r="CQ33" s="35"/>
      <c r="CR33" s="35"/>
      <c r="CS33" s="35"/>
      <c r="CT33" s="35"/>
      <c r="CU33" s="35"/>
      <c r="CV33" s="35"/>
      <c r="CW33" s="35"/>
      <c r="CX33" s="35"/>
      <c r="CY33" s="35"/>
      <c r="CZ33" s="35"/>
      <c r="DA33" s="35"/>
      <c r="DB33" s="35"/>
      <c r="DC33" s="35"/>
      <c r="DD33" s="35"/>
      <c r="DE33" s="35"/>
      <c r="DF33" s="35"/>
      <c r="DG33" s="35"/>
      <c r="DH33" s="35"/>
      <c r="DI33" s="35"/>
      <c r="DJ33" s="35"/>
      <c r="DK33" s="35"/>
      <c r="DL33" s="35"/>
      <c r="DM33" s="35"/>
      <c r="DN33" s="35"/>
      <c r="DO33" s="35"/>
      <c r="DP33" s="35"/>
      <c r="DQ33" s="35"/>
      <c r="DR33" s="35"/>
      <c r="DS33" s="35"/>
      <c r="DT33" s="35"/>
      <c r="DU33" s="35"/>
      <c r="DV33" s="35"/>
      <c r="DW33" s="35"/>
      <c r="DX33" s="35"/>
      <c r="DY33" s="35"/>
      <c r="DZ33" s="35"/>
      <c r="EA33" s="35"/>
      <c r="EB33" s="35"/>
      <c r="EC33" s="35"/>
      <c r="ED33" s="35"/>
      <c r="EE33" s="35"/>
      <c r="EF33" s="35"/>
      <c r="EG33" s="35"/>
      <c r="EH33" s="35"/>
      <c r="EI33" s="35"/>
      <c r="EJ33" s="35"/>
      <c r="EK33" s="35"/>
      <c r="EL33" s="35"/>
      <c r="EM33" s="35"/>
      <c r="EN33" s="35"/>
      <c r="EO33" s="35"/>
      <c r="EP33" s="35"/>
      <c r="EQ33" s="35"/>
      <c r="ER33" s="35"/>
      <c r="ES33" s="35"/>
      <c r="ET33" s="35"/>
      <c r="EU33" s="35"/>
      <c r="EV33" s="35"/>
      <c r="EW33" s="35"/>
      <c r="EX33" s="35"/>
      <c r="EY33" s="35"/>
      <c r="EZ33" s="35"/>
    </row>
    <row r="34" spans="1:156" x14ac:dyDescent="0.15">
      <c r="B34" s="35"/>
      <c r="C34" s="35"/>
      <c r="D34" s="35"/>
      <c r="E34" s="35"/>
      <c r="F34" s="35"/>
      <c r="G34" s="42"/>
      <c r="H34" s="35"/>
    </row>
    <row r="35" spans="1:156" x14ac:dyDescent="0.15">
      <c r="B35" s="35"/>
      <c r="C35" s="35"/>
      <c r="D35" s="35"/>
      <c r="E35" s="35"/>
      <c r="F35" s="35"/>
      <c r="G35" s="42"/>
      <c r="H35" s="35"/>
      <c r="I35" s="35"/>
    </row>
    <row r="36" spans="1:156" x14ac:dyDescent="0.15">
      <c r="B36" s="35"/>
      <c r="C36" s="35"/>
      <c r="D36" s="35"/>
      <c r="E36" s="35"/>
      <c r="F36" s="35"/>
      <c r="G36" s="42"/>
      <c r="H36" s="35"/>
      <c r="I36" s="35"/>
    </row>
    <row r="37" spans="1:156" x14ac:dyDescent="0.15">
      <c r="B37" s="35"/>
      <c r="C37" s="35"/>
      <c r="D37" s="35"/>
      <c r="E37" s="35"/>
      <c r="F37" s="35"/>
      <c r="G37" s="42"/>
      <c r="H37" s="35"/>
      <c r="I37" s="35"/>
    </row>
    <row r="38" spans="1:156" x14ac:dyDescent="0.15">
      <c r="B38" s="35"/>
      <c r="C38" s="35"/>
      <c r="D38" s="35"/>
      <c r="E38" s="35"/>
      <c r="F38" s="35"/>
      <c r="G38" s="42"/>
      <c r="H38" s="35"/>
      <c r="I38" s="35"/>
    </row>
    <row r="39" spans="1:156" x14ac:dyDescent="0.15">
      <c r="C39" s="35"/>
      <c r="D39" s="35"/>
      <c r="E39" s="35"/>
      <c r="F39" s="35"/>
      <c r="G39" s="42"/>
      <c r="H39" s="35"/>
      <c r="I39" s="35"/>
    </row>
    <row r="40" spans="1:156" x14ac:dyDescent="0.15">
      <c r="C40" s="35"/>
      <c r="D40" s="35"/>
      <c r="E40" s="35"/>
      <c r="F40" s="35"/>
      <c r="G40" s="42"/>
      <c r="H40" s="35"/>
      <c r="I40" s="35"/>
    </row>
    <row r="41" spans="1:156" x14ac:dyDescent="0.15">
      <c r="C41" s="35"/>
      <c r="D41" s="35"/>
      <c r="E41" s="35"/>
      <c r="F41" s="35"/>
      <c r="G41" s="42"/>
      <c r="H41" s="35"/>
      <c r="I41" s="35"/>
    </row>
    <row r="42" spans="1:156" x14ac:dyDescent="0.15">
      <c r="C42" s="35"/>
      <c r="D42" s="35"/>
      <c r="E42" s="35"/>
      <c r="F42" s="35"/>
      <c r="G42" s="42"/>
      <c r="H42" s="35"/>
      <c r="P42" s="40"/>
      <c r="Q42" s="40"/>
      <c r="R42" s="40"/>
    </row>
    <row r="43" spans="1:156" x14ac:dyDescent="0.15">
      <c r="C43" s="35"/>
      <c r="D43" s="35"/>
      <c r="E43" s="35"/>
      <c r="F43" s="35"/>
      <c r="G43" s="42"/>
      <c r="H43" s="35"/>
      <c r="P43" s="40"/>
      <c r="Q43" s="40"/>
      <c r="R43" s="40"/>
    </row>
    <row r="44" spans="1:156" x14ac:dyDescent="0.15">
      <c r="C44" s="35"/>
      <c r="D44" s="35"/>
      <c r="E44" s="35"/>
      <c r="F44" s="35"/>
      <c r="G44" s="42"/>
      <c r="H44" s="35"/>
      <c r="I44" s="35"/>
      <c r="P44" s="40"/>
      <c r="Q44" s="40"/>
      <c r="R44" s="40"/>
    </row>
    <row r="45" spans="1:156" x14ac:dyDescent="0.15">
      <c r="C45" s="35"/>
      <c r="D45" s="35"/>
      <c r="E45" s="35"/>
      <c r="F45" s="35"/>
      <c r="G45" s="42"/>
      <c r="H45" s="35"/>
      <c r="I45" s="35"/>
      <c r="P45" s="40"/>
      <c r="Q45" s="40"/>
      <c r="R45" s="40"/>
    </row>
    <row r="46" spans="1:156" x14ac:dyDescent="0.15">
      <c r="C46" s="42"/>
      <c r="D46" s="35"/>
      <c r="E46" s="35"/>
      <c r="F46" s="35"/>
      <c r="G46" s="42"/>
      <c r="H46" s="35"/>
      <c r="I46" s="35"/>
      <c r="P46" s="40"/>
      <c r="Q46" s="40"/>
      <c r="R46" s="40"/>
    </row>
    <row r="47" spans="1:156" x14ac:dyDescent="0.15">
      <c r="C47" s="42"/>
      <c r="D47" s="35"/>
      <c r="E47" s="35"/>
      <c r="F47" s="35"/>
      <c r="G47" s="42"/>
      <c r="H47" s="35"/>
      <c r="I47" s="35"/>
      <c r="P47" s="40"/>
      <c r="Q47" s="40"/>
      <c r="R47" s="40"/>
    </row>
    <row r="48" spans="1:156" x14ac:dyDescent="0.15">
      <c r="C48" s="42"/>
      <c r="D48" s="35"/>
      <c r="E48" s="35"/>
      <c r="F48" s="35"/>
      <c r="G48" s="42"/>
      <c r="H48" s="35"/>
      <c r="P48" s="40"/>
      <c r="Q48" s="40"/>
      <c r="R48" s="40"/>
    </row>
    <row r="49" spans="3:18" x14ac:dyDescent="0.15">
      <c r="C49" s="42"/>
      <c r="D49" s="35"/>
      <c r="E49" s="35"/>
      <c r="F49" s="35"/>
      <c r="G49" s="42"/>
      <c r="H49" s="35"/>
      <c r="O49" s="40"/>
      <c r="P49" s="40"/>
      <c r="Q49" s="40"/>
      <c r="R49" s="40"/>
    </row>
    <row r="50" spans="3:18" x14ac:dyDescent="0.15">
      <c r="C50" s="42"/>
      <c r="D50" s="35"/>
      <c r="E50" s="35"/>
      <c r="F50" s="35"/>
      <c r="G50" s="42"/>
      <c r="H50" s="35"/>
      <c r="O50" s="40"/>
      <c r="P50" s="40"/>
      <c r="Q50" s="40"/>
      <c r="R50" s="40"/>
    </row>
    <row r="51" spans="3:18" x14ac:dyDescent="0.15">
      <c r="C51" s="42"/>
      <c r="D51" s="35"/>
      <c r="E51" s="35"/>
      <c r="F51" s="35"/>
      <c r="G51" s="42"/>
      <c r="H51" s="35"/>
      <c r="Q51" s="40"/>
      <c r="R51" s="40"/>
    </row>
    <row r="52" spans="3:18" x14ac:dyDescent="0.15">
      <c r="C52" s="42"/>
      <c r="D52" s="35"/>
      <c r="E52" s="35"/>
      <c r="F52" s="35"/>
      <c r="G52" s="42"/>
      <c r="H52" s="35"/>
    </row>
    <row r="53" spans="3:18" x14ac:dyDescent="0.15">
      <c r="C53" s="42"/>
      <c r="D53" s="35"/>
      <c r="E53" s="35"/>
      <c r="F53" s="35"/>
      <c r="G53" s="42"/>
      <c r="H53" s="35"/>
    </row>
    <row r="54" spans="3:18" x14ac:dyDescent="0.15">
      <c r="C54" s="42"/>
      <c r="D54" s="35"/>
      <c r="E54" s="35"/>
      <c r="F54" s="35"/>
      <c r="G54" s="42"/>
      <c r="H54" s="35"/>
    </row>
    <row r="56" spans="3:18" x14ac:dyDescent="0.15">
      <c r="D56" s="42"/>
      <c r="E56" s="35"/>
      <c r="J56" s="35"/>
      <c r="K56" s="35"/>
      <c r="L56" s="42"/>
      <c r="M56" s="35"/>
    </row>
    <row r="57" spans="3:18" x14ac:dyDescent="0.15">
      <c r="C57" s="12">
        <f t="shared" ref="C57:C64" si="0">A24</f>
        <v>0</v>
      </c>
      <c r="D57" s="42"/>
      <c r="E57" s="35"/>
      <c r="J57" s="35"/>
      <c r="K57" s="35"/>
      <c r="L57" s="42"/>
      <c r="M57" s="35"/>
    </row>
    <row r="58" spans="3:18" x14ac:dyDescent="0.15">
      <c r="C58" s="12">
        <f t="shared" si="0"/>
        <v>0</v>
      </c>
      <c r="D58" s="42"/>
      <c r="E58" s="35"/>
      <c r="J58" s="35"/>
      <c r="K58" s="35"/>
      <c r="L58" s="42"/>
      <c r="M58" s="35"/>
    </row>
    <row r="59" spans="3:18" x14ac:dyDescent="0.15">
      <c r="C59" s="12">
        <f t="shared" si="0"/>
        <v>0</v>
      </c>
      <c r="D59" s="42"/>
      <c r="E59" s="35"/>
      <c r="J59" s="35"/>
      <c r="K59" s="35"/>
      <c r="L59" s="42"/>
      <c r="M59" s="35"/>
    </row>
    <row r="60" spans="3:18" x14ac:dyDescent="0.15">
      <c r="C60" s="12">
        <f t="shared" si="0"/>
        <v>0</v>
      </c>
      <c r="D60" s="42"/>
      <c r="E60" s="35"/>
      <c r="J60" s="35"/>
      <c r="K60" s="35"/>
      <c r="L60" s="42"/>
      <c r="M60" s="35"/>
    </row>
    <row r="61" spans="3:18" x14ac:dyDescent="0.15">
      <c r="C61" s="12">
        <f t="shared" si="0"/>
        <v>0</v>
      </c>
      <c r="D61" s="42"/>
      <c r="E61" s="35"/>
      <c r="J61" s="35"/>
      <c r="K61" s="35"/>
      <c r="L61" s="42"/>
      <c r="M61" s="35"/>
    </row>
    <row r="62" spans="3:18" x14ac:dyDescent="0.15">
      <c r="C62" s="12">
        <f t="shared" si="0"/>
        <v>0</v>
      </c>
      <c r="D62" s="42"/>
      <c r="E62" s="35"/>
      <c r="J62" s="35"/>
      <c r="K62" s="35"/>
      <c r="L62" s="42"/>
      <c r="M62" s="35"/>
    </row>
    <row r="63" spans="3:18" x14ac:dyDescent="0.15">
      <c r="C63" s="12">
        <f t="shared" si="0"/>
        <v>0</v>
      </c>
      <c r="D63" s="42"/>
      <c r="E63" s="35"/>
      <c r="J63" s="35"/>
      <c r="K63" s="35"/>
      <c r="L63" s="42"/>
      <c r="M63" s="35"/>
    </row>
    <row r="64" spans="3:18" x14ac:dyDescent="0.15">
      <c r="C64" s="12">
        <f t="shared" si="0"/>
        <v>0</v>
      </c>
      <c r="D64" s="42"/>
      <c r="E64" s="35"/>
      <c r="J64" s="35"/>
      <c r="K64" s="35"/>
      <c r="L64" s="42"/>
      <c r="M64" s="35"/>
    </row>
  </sheetData>
  <phoneticPr fontId="0" type="noConversion"/>
  <printOptions gridLinesSet="0"/>
  <pageMargins left="0.75" right="0.75" top="1" bottom="1" header="0.5" footer="0.5"/>
  <pageSetup scale="88" orientation="landscape" horizontalDpi="300" verticalDpi="300" r:id="rId1"/>
  <headerFooter alignWithMargins="0">
    <oddHeader>&amp;LALHA77295-28-2  Spinel-Hibonite CAI&amp;R&amp;D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1"/>
  <dimension ref="A1:X17"/>
  <sheetViews>
    <sheetView workbookViewId="0">
      <selection activeCell="D18" sqref="D18"/>
    </sheetView>
  </sheetViews>
  <sheetFormatPr baseColWidth="10" defaultColWidth="8.83203125" defaultRowHeight="13" x14ac:dyDescent="0.15"/>
  <cols>
    <col min="1" max="1" width="21.5" customWidth="1"/>
    <col min="2" max="2" width="11" style="8" customWidth="1"/>
    <col min="3" max="3" width="12.6640625" customWidth="1"/>
    <col min="4" max="4" width="11" style="8" customWidth="1"/>
    <col min="5" max="5" width="12.6640625" customWidth="1"/>
    <col min="6" max="6" width="11" style="8" customWidth="1"/>
    <col min="7" max="7" width="12.6640625" customWidth="1"/>
    <col min="8" max="8" width="11" style="8" customWidth="1"/>
    <col min="9" max="9" width="12.6640625" customWidth="1"/>
    <col min="10" max="11" width="11" style="8" customWidth="1"/>
    <col min="12" max="13" width="12.6640625" customWidth="1"/>
    <col min="14" max="14" width="11" style="8" customWidth="1"/>
    <col min="15" max="77" width="12.6640625" customWidth="1"/>
  </cols>
  <sheetData>
    <row r="1" spans="1:24" ht="15" thickTop="1" thickBot="1" x14ac:dyDescent="0.2">
      <c r="A1" s="1" t="s">
        <v>0</v>
      </c>
      <c r="B1" s="11" t="s">
        <v>38</v>
      </c>
      <c r="C1" s="11" t="s">
        <v>39</v>
      </c>
      <c r="D1" s="11" t="s">
        <v>40</v>
      </c>
      <c r="E1" s="11" t="s">
        <v>41</v>
      </c>
      <c r="F1" s="11" t="s">
        <v>42</v>
      </c>
      <c r="G1" s="11"/>
      <c r="H1" s="11"/>
      <c r="I1" s="11"/>
      <c r="J1" s="11"/>
      <c r="K1" s="11"/>
      <c r="L1" s="11"/>
      <c r="M1" s="11"/>
      <c r="N1" s="11"/>
      <c r="O1" s="11"/>
    </row>
    <row r="2" spans="1:24" ht="14" thickTop="1" x14ac:dyDescent="0.15">
      <c r="A2" s="3" t="s">
        <v>1</v>
      </c>
      <c r="B2">
        <v>22.98977</v>
      </c>
      <c r="C2">
        <v>27.976928000000001</v>
      </c>
      <c r="D2">
        <v>38.963707999999997</v>
      </c>
      <c r="E2">
        <v>51.940510000000003</v>
      </c>
      <c r="F2">
        <v>54.938046</v>
      </c>
      <c r="H2"/>
      <c r="J2"/>
      <c r="K2"/>
      <c r="N2"/>
    </row>
    <row r="3" spans="1:24" x14ac:dyDescent="0.15">
      <c r="A3" s="2" t="s">
        <v>3</v>
      </c>
      <c r="B3" s="7">
        <v>0.96</v>
      </c>
      <c r="C3" s="7">
        <v>0.96</v>
      </c>
      <c r="D3" s="7">
        <v>0.96</v>
      </c>
      <c r="E3" s="7">
        <v>0.96</v>
      </c>
      <c r="F3" s="7">
        <v>0.96</v>
      </c>
      <c r="G3" s="7"/>
      <c r="H3" s="7"/>
      <c r="I3" s="7"/>
      <c r="J3" s="7"/>
      <c r="K3" s="7"/>
      <c r="L3" s="7"/>
      <c r="M3" s="7"/>
      <c r="N3" s="7"/>
      <c r="O3" s="7"/>
    </row>
    <row r="4" spans="1:24" x14ac:dyDescent="0.15">
      <c r="A4" s="2" t="s">
        <v>2</v>
      </c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</row>
    <row r="5" spans="1:24" x14ac:dyDescent="0.15">
      <c r="A5" s="10" t="s">
        <v>13</v>
      </c>
      <c r="B5" s="8" t="s">
        <v>18</v>
      </c>
      <c r="C5" s="8" t="s">
        <v>18</v>
      </c>
      <c r="D5" s="8" t="s">
        <v>18</v>
      </c>
      <c r="E5" s="8" t="s">
        <v>18</v>
      </c>
      <c r="F5" s="8" t="s">
        <v>18</v>
      </c>
      <c r="G5" s="8"/>
      <c r="I5" s="8"/>
      <c r="L5" s="8"/>
      <c r="M5" s="8"/>
      <c r="O5" s="8"/>
    </row>
    <row r="6" spans="1:24" x14ac:dyDescent="0.15">
      <c r="A6" s="2" t="s">
        <v>21</v>
      </c>
      <c r="B6" t="s">
        <v>30</v>
      </c>
      <c r="C6" t="s">
        <v>30</v>
      </c>
      <c r="D6" t="s">
        <v>30</v>
      </c>
      <c r="E6" t="s">
        <v>30</v>
      </c>
      <c r="F6" t="s">
        <v>30</v>
      </c>
      <c r="H6"/>
      <c r="J6"/>
      <c r="K6"/>
      <c r="N6"/>
    </row>
    <row r="7" spans="1:24" x14ac:dyDescent="0.15">
      <c r="A7" s="2" t="s">
        <v>11</v>
      </c>
      <c r="B7"/>
      <c r="D7"/>
      <c r="F7"/>
      <c r="H7"/>
      <c r="J7"/>
      <c r="K7"/>
      <c r="N7"/>
    </row>
    <row r="8" spans="1:24" s="12" customFormat="1" x14ac:dyDescent="0.15">
      <c r="A8" s="2" t="s">
        <v>22</v>
      </c>
      <c r="P8"/>
      <c r="Q8"/>
      <c r="R8"/>
      <c r="S8"/>
      <c r="T8"/>
      <c r="U8"/>
      <c r="V8"/>
      <c r="W8"/>
      <c r="X8"/>
    </row>
    <row r="9" spans="1:24" s="12" customFormat="1" x14ac:dyDescent="0.15">
      <c r="A9" s="2" t="s">
        <v>23</v>
      </c>
    </row>
    <row r="10" spans="1:24" ht="14" thickBot="1" x14ac:dyDescent="0.2">
      <c r="A10" s="9" t="s">
        <v>16</v>
      </c>
      <c r="B10">
        <v>0</v>
      </c>
      <c r="C10">
        <v>0</v>
      </c>
      <c r="D10">
        <v>0</v>
      </c>
      <c r="E10">
        <v>0</v>
      </c>
      <c r="F10">
        <v>0</v>
      </c>
      <c r="H10"/>
      <c r="J10"/>
      <c r="K10"/>
      <c r="N10"/>
    </row>
    <row r="11" spans="1:24" ht="15" thickTop="1" thickBot="1" x14ac:dyDescent="0.2">
      <c r="B11"/>
      <c r="C11" s="8"/>
      <c r="D11"/>
      <c r="E11" s="8"/>
      <c r="F11"/>
      <c r="G11" s="8"/>
      <c r="H11"/>
      <c r="I11" s="8"/>
      <c r="J11"/>
      <c r="K11"/>
      <c r="L11" s="8"/>
      <c r="M11" s="8"/>
      <c r="N11"/>
      <c r="O11" s="8"/>
    </row>
    <row r="12" spans="1:24" ht="14" thickTop="1" x14ac:dyDescent="0.15">
      <c r="A12" s="17" t="s">
        <v>4</v>
      </c>
      <c r="B12" s="13">
        <v>2</v>
      </c>
      <c r="C12" s="13">
        <v>2</v>
      </c>
      <c r="D12" s="13">
        <v>2</v>
      </c>
      <c r="E12" s="13">
        <v>2</v>
      </c>
      <c r="F12" s="13">
        <v>2</v>
      </c>
      <c r="G12" s="13"/>
      <c r="H12" s="13"/>
      <c r="I12" s="13"/>
      <c r="J12" s="13"/>
      <c r="K12" s="13"/>
      <c r="L12" s="13"/>
      <c r="M12" s="13"/>
      <c r="N12" s="13"/>
      <c r="O12" s="13"/>
    </row>
    <row r="13" spans="1:24" x14ac:dyDescent="0.15">
      <c r="A13" s="18" t="s">
        <v>5</v>
      </c>
      <c r="B13" s="32">
        <v>1</v>
      </c>
      <c r="C13" s="33">
        <v>2.0052E-3</v>
      </c>
      <c r="D13" s="32">
        <v>1</v>
      </c>
      <c r="E13" s="33">
        <v>2.0052E-3</v>
      </c>
      <c r="F13" s="32">
        <v>1</v>
      </c>
      <c r="G13" s="33"/>
      <c r="H13" s="32"/>
      <c r="I13" s="33"/>
      <c r="J13" s="32"/>
      <c r="K13" s="32"/>
      <c r="L13" s="33"/>
      <c r="M13" s="33"/>
      <c r="N13" s="33"/>
      <c r="O13" s="33"/>
    </row>
    <row r="14" spans="1:24" x14ac:dyDescent="0.15">
      <c r="A14" s="19" t="s">
        <v>17</v>
      </c>
      <c r="B14" s="15"/>
      <c r="C14" s="16"/>
      <c r="D14" s="15"/>
      <c r="E14" s="16"/>
      <c r="F14" s="15"/>
      <c r="G14" s="16"/>
      <c r="H14" s="15"/>
      <c r="I14" s="16"/>
      <c r="J14" s="15"/>
      <c r="K14" s="15"/>
      <c r="L14" s="16"/>
      <c r="M14" s="16"/>
      <c r="N14" s="15"/>
      <c r="O14" s="16"/>
    </row>
    <row r="15" spans="1:24" ht="14" thickBot="1" x14ac:dyDescent="0.2">
      <c r="A15" s="14" t="s">
        <v>6</v>
      </c>
      <c r="B15" s="13" t="s">
        <v>28</v>
      </c>
      <c r="C15" s="13" t="s">
        <v>29</v>
      </c>
      <c r="D15" s="13" t="s">
        <v>31</v>
      </c>
      <c r="E15" s="13" t="s">
        <v>32</v>
      </c>
      <c r="F15" s="13" t="s">
        <v>33</v>
      </c>
      <c r="G15" s="13"/>
      <c r="H15" s="13"/>
      <c r="I15" s="13"/>
      <c r="J15" s="13"/>
      <c r="K15" s="13"/>
      <c r="L15" s="13"/>
      <c r="M15" s="13"/>
      <c r="N15" s="13"/>
      <c r="O15" s="13"/>
    </row>
    <row r="16" spans="1:24" ht="14" thickTop="1" x14ac:dyDescent="0.15"/>
    <row r="17" spans="2:15" x14ac:dyDescent="0.15">
      <c r="B17" s="13"/>
      <c r="C17" s="13"/>
      <c r="D17" s="13"/>
      <c r="E17" s="13"/>
      <c r="F17" s="13"/>
      <c r="G17" s="13"/>
      <c r="H17" s="13"/>
      <c r="I17" s="13"/>
      <c r="J17" s="13"/>
      <c r="K17" s="13"/>
      <c r="L17" s="13"/>
      <c r="M17" s="13"/>
      <c r="N17" s="13"/>
      <c r="O17" s="13"/>
    </row>
  </sheetData>
  <phoneticPr fontId="0" type="noConversion"/>
  <printOptions gridLines="1" gridLinesSet="0"/>
  <pageMargins left="0.75" right="0.75" top="1" bottom="1" header="0.5" footer="0.5"/>
  <pageSetup orientation="portrait" horizontalDpi="1200" verticalDpi="200" r:id="rId1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A1:R52"/>
  <sheetViews>
    <sheetView workbookViewId="0">
      <selection activeCell="H25" sqref="H25"/>
    </sheetView>
  </sheetViews>
  <sheetFormatPr baseColWidth="10" defaultColWidth="8.83203125" defaultRowHeight="13" x14ac:dyDescent="0.15"/>
  <cols>
    <col min="1" max="1" width="23.6640625" customWidth="1"/>
    <col min="2" max="2" width="5.33203125" customWidth="1"/>
    <col min="4" max="4" width="8.6640625" customWidth="1"/>
    <col min="5" max="5" width="10.6640625" style="21" customWidth="1"/>
    <col min="6" max="10" width="10.6640625" customWidth="1"/>
    <col min="11" max="11" width="10.5" style="21" customWidth="1"/>
    <col min="12" max="16" width="10" customWidth="1"/>
    <col min="17" max="17" width="9.1640625" style="21" customWidth="1"/>
  </cols>
  <sheetData>
    <row r="1" spans="1:18" ht="14" thickTop="1" x14ac:dyDescent="0.15">
      <c r="A1" s="4"/>
      <c r="B1" s="5"/>
      <c r="C1" s="5"/>
      <c r="D1" s="4"/>
      <c r="E1" s="27" t="s">
        <v>26</v>
      </c>
      <c r="F1" s="4"/>
      <c r="G1" s="4">
        <v>0</v>
      </c>
      <c r="H1" s="4">
        <v>0</v>
      </c>
      <c r="I1" s="4">
        <v>0</v>
      </c>
      <c r="J1" s="4">
        <v>0</v>
      </c>
      <c r="K1" s="20">
        <v>0</v>
      </c>
      <c r="L1" s="4"/>
      <c r="M1" s="4"/>
      <c r="N1" s="4"/>
      <c r="O1" s="4"/>
      <c r="P1" s="4"/>
      <c r="Q1" s="20"/>
    </row>
    <row r="2" spans="1:18" x14ac:dyDescent="0.15">
      <c r="F2" s="23" t="s">
        <v>18</v>
      </c>
      <c r="G2" s="23" t="s">
        <v>19</v>
      </c>
      <c r="H2" s="23" t="s">
        <v>15</v>
      </c>
      <c r="I2" s="23" t="s">
        <v>20</v>
      </c>
      <c r="J2" s="23" t="s">
        <v>14</v>
      </c>
      <c r="K2" s="24" t="s">
        <v>27</v>
      </c>
      <c r="L2" s="23" t="s">
        <v>18</v>
      </c>
      <c r="M2" s="23" t="s">
        <v>19</v>
      </c>
      <c r="N2" s="23" t="s">
        <v>15</v>
      </c>
      <c r="O2" s="23" t="s">
        <v>20</v>
      </c>
      <c r="P2" s="23" t="s">
        <v>14</v>
      </c>
      <c r="Q2" s="24" t="s">
        <v>27</v>
      </c>
    </row>
    <row r="3" spans="1:18" s="25" customFormat="1" ht="14" thickBot="1" x14ac:dyDescent="0.2">
      <c r="A3" s="6" t="s">
        <v>12</v>
      </c>
      <c r="B3" s="6" t="s">
        <v>10</v>
      </c>
      <c r="C3" s="6" t="s">
        <v>8</v>
      </c>
      <c r="D3" s="6" t="s">
        <v>9</v>
      </c>
      <c r="E3" s="22" t="s">
        <v>7</v>
      </c>
      <c r="H3" s="6" t="s">
        <v>24</v>
      </c>
      <c r="K3" s="26"/>
      <c r="L3"/>
      <c r="M3"/>
      <c r="N3" s="28" t="s">
        <v>25</v>
      </c>
      <c r="O3"/>
      <c r="P3"/>
      <c r="Q3" s="21"/>
    </row>
    <row r="4" spans="1:18" ht="15" thickTop="1" thickBot="1" x14ac:dyDescent="0.2">
      <c r="A4" t="s">
        <v>37</v>
      </c>
      <c r="B4" t="s">
        <v>36</v>
      </c>
      <c r="C4">
        <v>-747</v>
      </c>
      <c r="D4">
        <v>3608</v>
      </c>
      <c r="E4" s="21">
        <v>30</v>
      </c>
      <c r="F4" s="4">
        <v>55</v>
      </c>
      <c r="K4"/>
      <c r="L4">
        <v>55</v>
      </c>
      <c r="P4" s="29"/>
      <c r="Q4" s="29"/>
    </row>
    <row r="5" spans="1:18" ht="15" thickTop="1" thickBot="1" x14ac:dyDescent="0.2">
      <c r="A5" t="s">
        <v>60</v>
      </c>
      <c r="B5" t="s">
        <v>36</v>
      </c>
      <c r="C5">
        <v>-773</v>
      </c>
      <c r="D5">
        <v>3562</v>
      </c>
      <c r="E5" s="21">
        <v>49</v>
      </c>
      <c r="F5" s="4">
        <v>55</v>
      </c>
      <c r="K5"/>
      <c r="L5">
        <v>55</v>
      </c>
      <c r="P5" s="29"/>
      <c r="Q5" s="29"/>
      <c r="R5">
        <v>1</v>
      </c>
    </row>
    <row r="6" spans="1:18" ht="15" thickTop="1" thickBot="1" x14ac:dyDescent="0.2">
      <c r="A6" t="s">
        <v>61</v>
      </c>
      <c r="B6" t="s">
        <v>36</v>
      </c>
      <c r="C6">
        <v>-929</v>
      </c>
      <c r="D6">
        <v>3530</v>
      </c>
      <c r="E6" s="21">
        <v>49</v>
      </c>
      <c r="F6" s="4">
        <v>55</v>
      </c>
      <c r="K6"/>
      <c r="L6">
        <v>55</v>
      </c>
      <c r="P6" s="29"/>
      <c r="Q6" s="29"/>
      <c r="R6">
        <v>1</v>
      </c>
    </row>
    <row r="7" spans="1:18" ht="15" thickTop="1" thickBot="1" x14ac:dyDescent="0.2">
      <c r="A7" t="s">
        <v>62</v>
      </c>
      <c r="B7" t="s">
        <v>36</v>
      </c>
      <c r="C7">
        <v>-925</v>
      </c>
      <c r="D7">
        <v>3542</v>
      </c>
      <c r="E7" s="21">
        <v>49</v>
      </c>
      <c r="F7" s="4">
        <v>55</v>
      </c>
      <c r="K7"/>
      <c r="L7">
        <v>55</v>
      </c>
      <c r="P7" s="29"/>
      <c r="Q7" s="29"/>
      <c r="R7">
        <v>1</v>
      </c>
    </row>
    <row r="8" spans="1:18" ht="15" thickTop="1" thickBot="1" x14ac:dyDescent="0.2">
      <c r="A8" t="s">
        <v>63</v>
      </c>
      <c r="B8" t="s">
        <v>36</v>
      </c>
      <c r="C8">
        <v>-920</v>
      </c>
      <c r="D8">
        <v>3558</v>
      </c>
      <c r="E8" s="21">
        <v>49</v>
      </c>
      <c r="F8" s="4">
        <v>55</v>
      </c>
      <c r="K8"/>
      <c r="L8">
        <v>55</v>
      </c>
      <c r="P8" s="29"/>
      <c r="Q8" s="29"/>
      <c r="R8">
        <v>1</v>
      </c>
    </row>
    <row r="9" spans="1:18" ht="15" thickTop="1" thickBot="1" x14ac:dyDescent="0.2">
      <c r="A9" s="34" t="s">
        <v>64</v>
      </c>
      <c r="B9" t="s">
        <v>36</v>
      </c>
      <c r="C9">
        <v>-873</v>
      </c>
      <c r="D9">
        <v>3654</v>
      </c>
      <c r="E9" s="21">
        <v>49</v>
      </c>
      <c r="F9" s="4">
        <v>55</v>
      </c>
      <c r="K9"/>
      <c r="L9">
        <v>55</v>
      </c>
      <c r="P9" s="29"/>
      <c r="Q9" s="29"/>
      <c r="R9">
        <v>1</v>
      </c>
    </row>
    <row r="10" spans="1:18" ht="15" thickTop="1" thickBot="1" x14ac:dyDescent="0.2">
      <c r="A10" s="34" t="s">
        <v>67</v>
      </c>
      <c r="B10" t="s">
        <v>36</v>
      </c>
      <c r="C10">
        <v>-817</v>
      </c>
      <c r="D10">
        <v>3782</v>
      </c>
      <c r="E10" s="21">
        <v>49</v>
      </c>
      <c r="F10" s="4">
        <v>55</v>
      </c>
      <c r="K10"/>
      <c r="L10">
        <v>55</v>
      </c>
      <c r="Q10"/>
      <c r="R10">
        <v>1</v>
      </c>
    </row>
    <row r="11" spans="1:18" ht="15" thickTop="1" thickBot="1" x14ac:dyDescent="0.2">
      <c r="A11" s="34" t="s">
        <v>66</v>
      </c>
      <c r="B11" t="s">
        <v>36</v>
      </c>
      <c r="C11">
        <v>-821</v>
      </c>
      <c r="D11">
        <v>3770</v>
      </c>
      <c r="E11" s="21">
        <v>49</v>
      </c>
      <c r="F11" s="4">
        <v>55</v>
      </c>
      <c r="K11"/>
      <c r="L11">
        <v>55</v>
      </c>
      <c r="P11" s="29"/>
      <c r="Q11" s="29"/>
      <c r="R11">
        <v>1</v>
      </c>
    </row>
    <row r="12" spans="1:18" ht="15" thickTop="1" thickBot="1" x14ac:dyDescent="0.2">
      <c r="A12" s="34" t="s">
        <v>68</v>
      </c>
      <c r="B12" t="s">
        <v>36</v>
      </c>
      <c r="C12">
        <v>-826</v>
      </c>
      <c r="D12">
        <v>3758</v>
      </c>
      <c r="E12" s="21">
        <v>49</v>
      </c>
      <c r="F12" s="4">
        <v>55</v>
      </c>
      <c r="K12"/>
      <c r="L12">
        <v>55</v>
      </c>
      <c r="P12" s="29"/>
      <c r="Q12" s="29"/>
      <c r="R12">
        <v>1</v>
      </c>
    </row>
    <row r="13" spans="1:18" ht="15" thickTop="1" thickBot="1" x14ac:dyDescent="0.2">
      <c r="A13" s="34" t="s">
        <v>65</v>
      </c>
      <c r="B13" t="s">
        <v>36</v>
      </c>
      <c r="C13">
        <v>-850</v>
      </c>
      <c r="D13">
        <v>3707</v>
      </c>
      <c r="E13" s="21">
        <v>49</v>
      </c>
      <c r="F13" s="4">
        <v>55</v>
      </c>
      <c r="K13"/>
      <c r="L13">
        <v>55</v>
      </c>
      <c r="P13" s="29"/>
      <c r="Q13" s="29"/>
      <c r="R13">
        <v>1</v>
      </c>
    </row>
    <row r="14" spans="1:18" ht="15" thickTop="1" thickBot="1" x14ac:dyDescent="0.2">
      <c r="A14" t="s">
        <v>69</v>
      </c>
      <c r="B14" t="s">
        <v>36</v>
      </c>
      <c r="C14">
        <v>-909</v>
      </c>
      <c r="D14">
        <v>3526</v>
      </c>
      <c r="E14" s="21">
        <v>49</v>
      </c>
      <c r="F14" s="4">
        <v>55</v>
      </c>
      <c r="K14"/>
      <c r="L14">
        <v>55</v>
      </c>
      <c r="P14" s="29"/>
      <c r="Q14" s="29"/>
      <c r="R14">
        <v>1</v>
      </c>
    </row>
    <row r="15" spans="1:18" ht="15" thickTop="1" thickBot="1" x14ac:dyDescent="0.2">
      <c r="A15" t="s">
        <v>70</v>
      </c>
      <c r="B15" t="s">
        <v>36</v>
      </c>
      <c r="C15">
        <v>-907</v>
      </c>
      <c r="D15">
        <v>3538</v>
      </c>
      <c r="E15" s="21">
        <v>49</v>
      </c>
      <c r="F15" s="4">
        <v>55</v>
      </c>
      <c r="K15"/>
      <c r="L15">
        <v>55</v>
      </c>
      <c r="P15" s="29"/>
      <c r="Q15" s="29"/>
      <c r="R15">
        <v>1</v>
      </c>
    </row>
    <row r="16" spans="1:18" ht="15" thickTop="1" thickBot="1" x14ac:dyDescent="0.2">
      <c r="A16" t="s">
        <v>71</v>
      </c>
      <c r="B16" t="s">
        <v>36</v>
      </c>
      <c r="C16">
        <v>-901</v>
      </c>
      <c r="D16">
        <v>3554</v>
      </c>
      <c r="E16" s="21">
        <v>49</v>
      </c>
      <c r="F16" s="4">
        <v>55</v>
      </c>
      <c r="K16"/>
      <c r="L16">
        <v>55</v>
      </c>
      <c r="P16" s="29"/>
      <c r="Q16" s="29"/>
      <c r="R16">
        <v>1</v>
      </c>
    </row>
    <row r="17" spans="1:18" s="30" customFormat="1" ht="15" thickTop="1" thickBot="1" x14ac:dyDescent="0.2">
      <c r="A17" s="12" t="s">
        <v>72</v>
      </c>
      <c r="B17" s="12" t="s">
        <v>36</v>
      </c>
      <c r="C17" s="12">
        <v>-793</v>
      </c>
      <c r="D17">
        <v>3558</v>
      </c>
      <c r="E17" s="21">
        <v>49</v>
      </c>
      <c r="F17" s="4">
        <v>55</v>
      </c>
      <c r="G17" s="12"/>
      <c r="H17" s="12"/>
      <c r="I17" s="12"/>
      <c r="J17" s="12"/>
      <c r="L17">
        <v>55</v>
      </c>
      <c r="M17"/>
      <c r="O17"/>
      <c r="P17" s="31"/>
      <c r="Q17" s="31"/>
      <c r="R17" s="12">
        <v>1</v>
      </c>
    </row>
    <row r="18" spans="1:18" ht="14" thickTop="1" x14ac:dyDescent="0.15">
      <c r="A18" s="12"/>
      <c r="B18" s="12"/>
      <c r="C18" s="12"/>
      <c r="F18" s="4"/>
      <c r="G18" s="12"/>
      <c r="H18" s="12"/>
      <c r="I18" s="12"/>
      <c r="J18" s="12"/>
      <c r="K18"/>
      <c r="L18">
        <v>55</v>
      </c>
      <c r="P18" s="29"/>
      <c r="Q18" s="29"/>
    </row>
    <row r="19" spans="1:18" x14ac:dyDescent="0.15">
      <c r="A19" s="12"/>
      <c r="B19" s="12"/>
      <c r="C19" s="12"/>
      <c r="F19" s="12"/>
      <c r="G19" s="12"/>
      <c r="H19" s="12"/>
      <c r="I19" s="12"/>
      <c r="J19" s="12"/>
      <c r="L19">
        <v>55</v>
      </c>
      <c r="P19" s="29"/>
      <c r="Q19" s="29"/>
    </row>
    <row r="20" spans="1:18" x14ac:dyDescent="0.15">
      <c r="L20">
        <v>55</v>
      </c>
      <c r="M20" s="29"/>
      <c r="N20" s="29"/>
      <c r="O20" s="29"/>
      <c r="P20" s="29"/>
      <c r="Q20" s="29"/>
    </row>
    <row r="21" spans="1:18" x14ac:dyDescent="0.15">
      <c r="L21">
        <v>55</v>
      </c>
      <c r="M21" s="29"/>
      <c r="N21" s="29"/>
      <c r="O21" s="29"/>
      <c r="P21" s="29"/>
      <c r="Q21" s="29"/>
    </row>
    <row r="22" spans="1:18" x14ac:dyDescent="0.15">
      <c r="L22">
        <v>55</v>
      </c>
      <c r="M22" s="29"/>
      <c r="N22" s="29"/>
      <c r="O22" s="29"/>
      <c r="P22" s="29"/>
      <c r="Q22" s="29"/>
    </row>
    <row r="23" spans="1:18" x14ac:dyDescent="0.15">
      <c r="L23">
        <v>55</v>
      </c>
      <c r="M23" s="29"/>
      <c r="N23" s="29"/>
      <c r="O23" s="29"/>
      <c r="P23" s="29"/>
      <c r="Q23" s="29"/>
    </row>
    <row r="24" spans="1:18" x14ac:dyDescent="0.15">
      <c r="L24">
        <v>55</v>
      </c>
      <c r="M24" s="29"/>
      <c r="N24" s="29"/>
      <c r="O24" s="29"/>
      <c r="P24" s="29"/>
      <c r="Q24" s="29"/>
    </row>
    <row r="25" spans="1:18" x14ac:dyDescent="0.15">
      <c r="L25">
        <v>55</v>
      </c>
      <c r="M25" s="29"/>
      <c r="N25" s="29"/>
      <c r="O25" s="29"/>
      <c r="P25" s="29"/>
      <c r="Q25" s="29"/>
    </row>
    <row r="26" spans="1:18" x14ac:dyDescent="0.15">
      <c r="L26">
        <v>55</v>
      </c>
      <c r="M26" s="29"/>
      <c r="N26" s="29"/>
      <c r="O26" s="29"/>
      <c r="P26" s="29"/>
      <c r="Q26" s="29"/>
    </row>
    <row r="27" spans="1:18" x14ac:dyDescent="0.15">
      <c r="L27">
        <v>55</v>
      </c>
      <c r="M27" s="29"/>
      <c r="N27" s="29"/>
      <c r="O27" s="29"/>
      <c r="P27" s="29"/>
      <c r="Q27" s="29"/>
    </row>
    <row r="28" spans="1:18" x14ac:dyDescent="0.15">
      <c r="L28">
        <v>55</v>
      </c>
      <c r="M28" s="29"/>
      <c r="N28" s="29"/>
      <c r="O28" s="29"/>
      <c r="P28" s="29"/>
      <c r="Q28" s="29"/>
    </row>
    <row r="29" spans="1:18" x14ac:dyDescent="0.15">
      <c r="L29">
        <v>55</v>
      </c>
      <c r="M29" s="29"/>
      <c r="N29" s="29"/>
      <c r="O29" s="29"/>
    </row>
    <row r="30" spans="1:18" x14ac:dyDescent="0.15">
      <c r="L30">
        <v>55</v>
      </c>
      <c r="M30" s="29"/>
      <c r="N30" s="29"/>
      <c r="O30" s="29"/>
    </row>
    <row r="31" spans="1:18" x14ac:dyDescent="0.15">
      <c r="L31">
        <v>55</v>
      </c>
      <c r="M31" s="29"/>
      <c r="N31" s="29"/>
      <c r="O31" s="29"/>
    </row>
    <row r="32" spans="1:18" x14ac:dyDescent="0.15">
      <c r="L32">
        <v>55</v>
      </c>
      <c r="M32" s="29"/>
      <c r="N32" s="29"/>
      <c r="O32" s="29"/>
    </row>
    <row r="33" spans="12:15" x14ac:dyDescent="0.15">
      <c r="L33">
        <v>55</v>
      </c>
      <c r="M33" s="29"/>
      <c r="N33" s="29"/>
      <c r="O33" s="29"/>
    </row>
    <row r="34" spans="12:15" x14ac:dyDescent="0.15">
      <c r="L34">
        <v>55</v>
      </c>
      <c r="M34" s="29"/>
      <c r="N34" s="29"/>
      <c r="O34" s="29"/>
    </row>
    <row r="35" spans="12:15" x14ac:dyDescent="0.15">
      <c r="L35">
        <v>55</v>
      </c>
    </row>
    <row r="36" spans="12:15" x14ac:dyDescent="0.15">
      <c r="L36">
        <v>55</v>
      </c>
    </row>
    <row r="37" spans="12:15" x14ac:dyDescent="0.15">
      <c r="L37">
        <v>55</v>
      </c>
    </row>
    <row r="38" spans="12:15" x14ac:dyDescent="0.15">
      <c r="L38" s="29"/>
    </row>
    <row r="39" spans="12:15" x14ac:dyDescent="0.15">
      <c r="L39" s="29"/>
    </row>
    <row r="40" spans="12:15" x14ac:dyDescent="0.15">
      <c r="L40" s="29"/>
    </row>
    <row r="41" spans="12:15" x14ac:dyDescent="0.15">
      <c r="L41" s="29"/>
    </row>
    <row r="42" spans="12:15" x14ac:dyDescent="0.15">
      <c r="L42" s="29"/>
    </row>
    <row r="43" spans="12:15" x14ac:dyDescent="0.15">
      <c r="L43" s="29"/>
    </row>
    <row r="44" spans="12:15" x14ac:dyDescent="0.15">
      <c r="L44" s="29"/>
    </row>
    <row r="45" spans="12:15" x14ac:dyDescent="0.15">
      <c r="L45" s="29"/>
    </row>
    <row r="46" spans="12:15" x14ac:dyDescent="0.15">
      <c r="L46" s="29"/>
    </row>
    <row r="47" spans="12:15" x14ac:dyDescent="0.15">
      <c r="L47" s="29"/>
    </row>
    <row r="48" spans="12:15" x14ac:dyDescent="0.15">
      <c r="L48" s="29"/>
    </row>
    <row r="49" spans="12:12" x14ac:dyDescent="0.15">
      <c r="L49" s="29"/>
    </row>
    <row r="50" spans="12:12" x14ac:dyDescent="0.15">
      <c r="L50" s="29"/>
    </row>
    <row r="51" spans="12:12" x14ac:dyDescent="0.15">
      <c r="L51" s="29"/>
    </row>
    <row r="52" spans="12:12" x14ac:dyDescent="0.15">
      <c r="L52" s="29"/>
    </row>
  </sheetData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/>
  <dimension ref="A1:D4"/>
  <sheetViews>
    <sheetView workbookViewId="0">
      <selection activeCell="F31" sqref="F29:F31"/>
    </sheetView>
  </sheetViews>
  <sheetFormatPr baseColWidth="10" defaultColWidth="8.83203125" defaultRowHeight="13" x14ac:dyDescent="0.15"/>
  <sheetData>
    <row r="1" spans="1:4" x14ac:dyDescent="0.15">
      <c r="A1">
        <v>0</v>
      </c>
      <c r="B1">
        <v>0</v>
      </c>
      <c r="C1">
        <v>0</v>
      </c>
      <c r="D1">
        <v>0</v>
      </c>
    </row>
    <row r="2" spans="1:4" x14ac:dyDescent="0.15">
      <c r="A2">
        <v>0</v>
      </c>
      <c r="B2">
        <v>0</v>
      </c>
      <c r="C2">
        <v>0</v>
      </c>
      <c r="D2">
        <v>0</v>
      </c>
    </row>
    <row r="3" spans="1:4" x14ac:dyDescent="0.15">
      <c r="A3">
        <v>0</v>
      </c>
      <c r="B3">
        <v>0</v>
      </c>
      <c r="C3">
        <v>0</v>
      </c>
      <c r="D3">
        <v>0</v>
      </c>
    </row>
    <row r="4" spans="1:4" x14ac:dyDescent="0.15">
      <c r="A4">
        <v>0</v>
      </c>
      <c r="B4">
        <v>0</v>
      </c>
      <c r="C4">
        <v>0</v>
      </c>
      <c r="D4">
        <v>0</v>
      </c>
    </row>
  </sheetData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/>
  <dimension ref="A1:BR70"/>
  <sheetViews>
    <sheetView topLeftCell="AV1" zoomScale="85" workbookViewId="0">
      <selection activeCell="BD1" sqref="BD1:BD65536"/>
    </sheetView>
  </sheetViews>
  <sheetFormatPr baseColWidth="10" defaultColWidth="8.83203125" defaultRowHeight="13" x14ac:dyDescent="0.15"/>
  <cols>
    <col min="1" max="42" width="8.83203125" customWidth="1"/>
    <col min="43" max="43" width="9" customWidth="1"/>
  </cols>
  <sheetData>
    <row r="1" spans="1:70" x14ac:dyDescent="0.15">
      <c r="A1">
        <v>0.72634517254260689</v>
      </c>
      <c r="B1">
        <v>1</v>
      </c>
      <c r="C1">
        <v>0.10677356024077604</v>
      </c>
      <c r="D1">
        <v>6.6160917163769317E-2</v>
      </c>
      <c r="E1">
        <v>4.3142909011238684E-2</v>
      </c>
      <c r="F1">
        <v>0.74458826765127628</v>
      </c>
      <c r="G1">
        <v>1</v>
      </c>
      <c r="H1">
        <v>0.10086617092244021</v>
      </c>
      <c r="I1">
        <v>6.593914998904199E-2</v>
      </c>
      <c r="J1">
        <v>4.3079783941258457E-2</v>
      </c>
      <c r="K1">
        <v>0.84122592628123383</v>
      </c>
      <c r="L1">
        <v>1</v>
      </c>
      <c r="M1">
        <v>0.11343763842580988</v>
      </c>
      <c r="N1">
        <v>6.5148428769772768E-2</v>
      </c>
      <c r="O1">
        <v>4.3385419823560527E-2</v>
      </c>
      <c r="P1">
        <v>0.57874483040428226</v>
      </c>
      <c r="Q1">
        <v>1</v>
      </c>
      <c r="R1">
        <v>8.3758975462681046E-2</v>
      </c>
      <c r="S1">
        <v>6.4238917619273986E-2</v>
      </c>
      <c r="T1">
        <v>4.0034430228710338E-2</v>
      </c>
      <c r="U1">
        <v>0.60556801089264756</v>
      </c>
      <c r="V1">
        <v>1</v>
      </c>
      <c r="W1">
        <v>8.6475775419974477E-2</v>
      </c>
      <c r="X1">
        <v>6.499957471787797E-2</v>
      </c>
      <c r="Y1">
        <v>4.1805653741692837E-2</v>
      </c>
      <c r="Z1">
        <v>0.63488912772525674</v>
      </c>
      <c r="AA1">
        <v>1</v>
      </c>
      <c r="AB1">
        <v>9.6185105587395611E-2</v>
      </c>
      <c r="AC1">
        <v>6.7118047356152413E-2</v>
      </c>
      <c r="AD1">
        <v>4.4834417809398057E-2</v>
      </c>
      <c r="AE1">
        <v>0.75087773397558377</v>
      </c>
      <c r="AF1">
        <v>1</v>
      </c>
      <c r="AG1">
        <v>0.11333522260760268</v>
      </c>
      <c r="AH1">
        <v>6.8268895448206898E-2</v>
      </c>
      <c r="AI1">
        <v>4.4028767255335437E-2</v>
      </c>
      <c r="AJ1">
        <v>0.69023409440256112</v>
      </c>
      <c r="AK1">
        <v>1</v>
      </c>
      <c r="AL1">
        <v>0.10382790816794728</v>
      </c>
      <c r="AM1">
        <v>6.7650783107377793E-2</v>
      </c>
      <c r="AN1">
        <v>4.4218244025116503E-2</v>
      </c>
      <c r="AO1">
        <v>0.67093239843973718</v>
      </c>
      <c r="AP1">
        <v>1</v>
      </c>
      <c r="AQ1">
        <v>0.10231312003044507</v>
      </c>
      <c r="AR1">
        <v>6.6937098020933838E-2</v>
      </c>
      <c r="AS1">
        <v>4.3052687469892971E-2</v>
      </c>
      <c r="AT1">
        <v>0.65059626046684693</v>
      </c>
      <c r="AU1">
        <v>1</v>
      </c>
      <c r="AV1">
        <v>0.10137184866107957</v>
      </c>
      <c r="AW1">
        <v>6.6075288384085606E-2</v>
      </c>
      <c r="AX1">
        <v>4.2124857765362962E-2</v>
      </c>
      <c r="AY1">
        <v>0.73176687271468766</v>
      </c>
      <c r="AZ1">
        <v>1</v>
      </c>
      <c r="BA1">
        <v>0.10630299884369135</v>
      </c>
      <c r="BB1">
        <v>6.4975851349818897E-2</v>
      </c>
      <c r="BC1">
        <v>4.2293484649403232E-2</v>
      </c>
      <c r="BD1">
        <v>0.64894337312488559</v>
      </c>
      <c r="BE1">
        <v>1</v>
      </c>
      <c r="BF1">
        <v>9.3543918543632879E-2</v>
      </c>
      <c r="BG1">
        <v>6.3644165719927356E-2</v>
      </c>
      <c r="BH1">
        <v>4.031609986408391E-2</v>
      </c>
      <c r="BI1">
        <v>0.64980968509765824</v>
      </c>
      <c r="BJ1">
        <v>1</v>
      </c>
      <c r="BK1">
        <v>9.5943899101572347E-2</v>
      </c>
      <c r="BL1">
        <v>6.3574129719283445E-2</v>
      </c>
      <c r="BM1">
        <v>4.1617265070003476E-2</v>
      </c>
      <c r="BN1">
        <v>0.72665631232873773</v>
      </c>
      <c r="BO1">
        <v>1</v>
      </c>
      <c r="BP1">
        <v>0.1048768710668794</v>
      </c>
      <c r="BQ1">
        <v>6.4801408799136789E-2</v>
      </c>
      <c r="BR1">
        <v>4.2770294895892721E-2</v>
      </c>
    </row>
    <row r="2" spans="1:70" x14ac:dyDescent="0.15">
      <c r="A2">
        <v>0.72840750958721234</v>
      </c>
      <c r="B2">
        <v>1</v>
      </c>
      <c r="C2">
        <v>0.1079526503598036</v>
      </c>
      <c r="D2">
        <v>6.7100435216912738E-2</v>
      </c>
      <c r="E2">
        <v>4.3665363551316047E-2</v>
      </c>
      <c r="F2">
        <v>0.76713045834016835</v>
      </c>
      <c r="G2">
        <v>1</v>
      </c>
      <c r="H2">
        <v>0.10187159967977677</v>
      </c>
      <c r="I2">
        <v>6.2626417727526279E-2</v>
      </c>
      <c r="J2">
        <v>4.3385761755570268E-2</v>
      </c>
      <c r="K2">
        <v>0.84368027544328283</v>
      </c>
      <c r="L2">
        <v>1</v>
      </c>
      <c r="M2">
        <v>0.11770125036017916</v>
      </c>
      <c r="N2">
        <v>6.5286462289509989E-2</v>
      </c>
      <c r="O2">
        <v>4.3643889281003288E-2</v>
      </c>
      <c r="P2">
        <v>0.58510679206044947</v>
      </c>
      <c r="Q2">
        <v>1</v>
      </c>
      <c r="R2">
        <v>8.3841322471231605E-2</v>
      </c>
      <c r="S2">
        <v>6.4374546954145684E-2</v>
      </c>
      <c r="T2">
        <v>4.0994376348606115E-2</v>
      </c>
      <c r="U2">
        <v>0.60642411479699676</v>
      </c>
      <c r="V2">
        <v>1</v>
      </c>
      <c r="W2">
        <v>8.7093688290372007E-2</v>
      </c>
      <c r="X2">
        <v>6.4649654874523246E-2</v>
      </c>
      <c r="Y2">
        <v>4.1925819293735497E-2</v>
      </c>
      <c r="Z2">
        <v>0.64415443856552501</v>
      </c>
      <c r="AA2">
        <v>1</v>
      </c>
      <c r="AB2">
        <v>9.9434354256831975E-2</v>
      </c>
      <c r="AC2">
        <v>6.6806563454927442E-2</v>
      </c>
      <c r="AD2">
        <v>4.4248063588053749E-2</v>
      </c>
      <c r="AE2">
        <v>0.74810089838581761</v>
      </c>
      <c r="AF2">
        <v>1</v>
      </c>
      <c r="AG2">
        <v>0.10885816393853738</v>
      </c>
      <c r="AH2">
        <v>6.7954431901889906E-2</v>
      </c>
      <c r="AI2">
        <v>4.3666685068818198E-2</v>
      </c>
      <c r="AJ2">
        <v>0.69299786677633046</v>
      </c>
      <c r="AK2">
        <v>1</v>
      </c>
      <c r="AL2">
        <v>0.10043960810704695</v>
      </c>
      <c r="AM2">
        <v>6.8746920200969272E-2</v>
      </c>
      <c r="AN2">
        <v>4.4642603865625387E-2</v>
      </c>
      <c r="AO2">
        <v>0.67504783352435072</v>
      </c>
      <c r="AP2">
        <v>1</v>
      </c>
      <c r="AQ2">
        <v>9.9331159949285083E-2</v>
      </c>
      <c r="AR2">
        <v>6.7200952315567511E-2</v>
      </c>
      <c r="AS2">
        <v>4.3813647359942344E-2</v>
      </c>
      <c r="AT2">
        <v>0.65383399239389983</v>
      </c>
      <c r="AU2">
        <v>1</v>
      </c>
      <c r="AV2">
        <v>0.10048804083116941</v>
      </c>
      <c r="AW2">
        <v>6.6531295180346561E-2</v>
      </c>
      <c r="AX2">
        <v>4.2396725437940812E-2</v>
      </c>
      <c r="AY2">
        <v>0.7451532852315641</v>
      </c>
      <c r="AZ2">
        <v>1</v>
      </c>
      <c r="BA2">
        <v>0.10681204898223304</v>
      </c>
      <c r="BB2">
        <v>6.4958542309512146E-2</v>
      </c>
      <c r="BC2">
        <v>4.2988827702064657E-2</v>
      </c>
      <c r="BD2">
        <v>0.64286939029795442</v>
      </c>
      <c r="BE2">
        <v>1</v>
      </c>
      <c r="BF2">
        <v>9.8626002798656992E-2</v>
      </c>
      <c r="BG2">
        <v>6.2916517838120134E-2</v>
      </c>
      <c r="BH2">
        <v>4.1327644127813319E-2</v>
      </c>
      <c r="BI2">
        <v>0.65636754541531683</v>
      </c>
      <c r="BJ2">
        <v>1</v>
      </c>
      <c r="BK2">
        <v>9.480257245250702E-2</v>
      </c>
      <c r="BL2">
        <v>6.3673618042193708E-2</v>
      </c>
      <c r="BM2">
        <v>4.1696311699589816E-2</v>
      </c>
      <c r="BN2">
        <v>0.73795927648484316</v>
      </c>
      <c r="BO2">
        <v>1</v>
      </c>
      <c r="BP2">
        <v>0.10836398180528868</v>
      </c>
      <c r="BQ2">
        <v>6.4547121741203736E-2</v>
      </c>
      <c r="BR2">
        <v>4.2941313134512007E-2</v>
      </c>
    </row>
    <row r="3" spans="1:70" x14ac:dyDescent="0.15">
      <c r="A3">
        <v>0.73132280314605325</v>
      </c>
      <c r="B3">
        <v>1</v>
      </c>
      <c r="C3">
        <v>0.10566447405868969</v>
      </c>
      <c r="D3">
        <v>6.7291481808455691E-2</v>
      </c>
      <c r="E3">
        <v>4.3699413824364125E-2</v>
      </c>
      <c r="F3">
        <v>0.75546472362803663</v>
      </c>
      <c r="G3">
        <v>1</v>
      </c>
      <c r="H3">
        <v>0.10333208371170745</v>
      </c>
      <c r="I3">
        <v>6.654365633221615E-2</v>
      </c>
      <c r="J3">
        <v>4.3700337315267103E-2</v>
      </c>
      <c r="K3">
        <v>0.82601325839335549</v>
      </c>
      <c r="L3">
        <v>1</v>
      </c>
      <c r="M3">
        <v>0.11902089132386465</v>
      </c>
      <c r="N3">
        <v>6.6559554716571143E-2</v>
      </c>
      <c r="O3">
        <v>4.3819935945420052E-2</v>
      </c>
      <c r="P3">
        <v>0.58303684279026102</v>
      </c>
      <c r="Q3">
        <v>1</v>
      </c>
      <c r="R3">
        <v>8.2889036367289282E-2</v>
      </c>
      <c r="S3">
        <v>6.330712730216749E-2</v>
      </c>
      <c r="T3">
        <v>4.1851602745179815E-2</v>
      </c>
      <c r="U3">
        <v>0.6066456646956474</v>
      </c>
      <c r="V3">
        <v>1</v>
      </c>
      <c r="W3">
        <v>8.9383479272998931E-2</v>
      </c>
      <c r="X3">
        <v>6.382751423064488E-2</v>
      </c>
      <c r="Y3">
        <v>4.189790217423784E-2</v>
      </c>
      <c r="Z3">
        <v>0.64424989821325929</v>
      </c>
      <c r="AA3">
        <v>1</v>
      </c>
      <c r="AB3">
        <v>0.10334685568756537</v>
      </c>
      <c r="AC3">
        <v>6.6056778149545109E-2</v>
      </c>
      <c r="AD3">
        <v>4.408263340724667E-2</v>
      </c>
      <c r="AE3">
        <v>0.7500930059404417</v>
      </c>
      <c r="AF3">
        <v>1</v>
      </c>
      <c r="AG3">
        <v>0.10729808972849085</v>
      </c>
      <c r="AH3">
        <v>6.6358132705092651E-2</v>
      </c>
      <c r="AI3">
        <v>4.251067464497283E-2</v>
      </c>
      <c r="AJ3">
        <v>0.69509196538153772</v>
      </c>
      <c r="AK3">
        <v>1</v>
      </c>
      <c r="AL3">
        <v>0.10230340043634353</v>
      </c>
      <c r="AM3">
        <v>6.6619656328362559E-2</v>
      </c>
      <c r="AN3">
        <v>4.3548311976895765E-2</v>
      </c>
      <c r="AO3">
        <v>0.6800732805050631</v>
      </c>
      <c r="AP3">
        <v>1</v>
      </c>
      <c r="AQ3">
        <v>0.10289470884045061</v>
      </c>
      <c r="AR3">
        <v>6.7971461305706013E-2</v>
      </c>
      <c r="AS3">
        <v>4.3447861411456713E-2</v>
      </c>
      <c r="AT3">
        <v>0.64283971581229382</v>
      </c>
      <c r="AU3">
        <v>1</v>
      </c>
      <c r="AV3">
        <v>0.10024138989915898</v>
      </c>
      <c r="AW3">
        <v>6.6604798927744277E-2</v>
      </c>
      <c r="AX3">
        <v>4.3917828904262074E-2</v>
      </c>
      <c r="AY3">
        <v>0.75276643550769551</v>
      </c>
      <c r="AZ3">
        <v>1</v>
      </c>
      <c r="BA3">
        <v>0.10770973777244612</v>
      </c>
      <c r="BB3">
        <v>6.5763254556363615E-2</v>
      </c>
      <c r="BC3">
        <v>4.1581381110518442E-2</v>
      </c>
      <c r="BD3">
        <v>0.66195239308123521</v>
      </c>
      <c r="BE3">
        <v>1</v>
      </c>
      <c r="BF3">
        <v>9.9864268809296414E-2</v>
      </c>
      <c r="BG3">
        <v>6.3097231445200158E-2</v>
      </c>
      <c r="BH3">
        <v>4.0040691737544605E-2</v>
      </c>
      <c r="BI3">
        <v>0.65034272216922484</v>
      </c>
      <c r="BJ3">
        <v>1</v>
      </c>
      <c r="BK3">
        <v>9.5941788964086519E-2</v>
      </c>
      <c r="BL3">
        <v>6.171743099341051E-2</v>
      </c>
      <c r="BM3">
        <v>4.1618103127740384E-2</v>
      </c>
      <c r="BN3">
        <v>0.74639866782855013</v>
      </c>
      <c r="BO3">
        <v>1</v>
      </c>
      <c r="BP3">
        <v>0.10567338053557643</v>
      </c>
      <c r="BQ3">
        <v>6.5007810527901277E-2</v>
      </c>
      <c r="BR3">
        <v>4.2769149315173456E-2</v>
      </c>
    </row>
    <row r="4" spans="1:70" x14ac:dyDescent="0.15">
      <c r="A4">
        <v>0.74727989549941409</v>
      </c>
      <c r="B4">
        <v>1</v>
      </c>
      <c r="C4">
        <v>0.10491963216133512</v>
      </c>
      <c r="D4">
        <v>6.7680594368976665E-2</v>
      </c>
      <c r="E4">
        <v>4.3231057838666404E-2</v>
      </c>
      <c r="F4">
        <v>0.75020857181272205</v>
      </c>
      <c r="G4">
        <v>1</v>
      </c>
      <c r="H4">
        <v>0.10808176979979309</v>
      </c>
      <c r="I4">
        <v>6.7184629598788861E-2</v>
      </c>
      <c r="J4">
        <v>4.3108722237511402E-2</v>
      </c>
      <c r="K4">
        <v>0.83527374588885372</v>
      </c>
      <c r="L4">
        <v>1</v>
      </c>
      <c r="M4">
        <v>0.11854355499428246</v>
      </c>
      <c r="N4">
        <v>6.5151796926921857E-2</v>
      </c>
      <c r="O4">
        <v>4.3340992712965723E-2</v>
      </c>
      <c r="P4">
        <v>0.59402254788094266</v>
      </c>
      <c r="Q4">
        <v>1</v>
      </c>
      <c r="R4">
        <v>8.6493230507185145E-2</v>
      </c>
      <c r="S4">
        <v>6.3291224123213016E-2</v>
      </c>
      <c r="T4">
        <v>4.0645443337281754E-2</v>
      </c>
      <c r="U4">
        <v>0.60906873170283005</v>
      </c>
      <c r="V4">
        <v>1</v>
      </c>
      <c r="W4">
        <v>8.8854476172468055E-2</v>
      </c>
      <c r="X4">
        <v>6.4782459789801808E-2</v>
      </c>
      <c r="Y4">
        <v>4.2142285174267893E-2</v>
      </c>
      <c r="Z4">
        <v>0.63343637558943822</v>
      </c>
      <c r="AA4">
        <v>1</v>
      </c>
      <c r="AB4">
        <v>9.687316575406503E-2</v>
      </c>
      <c r="AC4">
        <v>6.6418647424345209E-2</v>
      </c>
      <c r="AD4">
        <v>4.3220337206984753E-2</v>
      </c>
      <c r="AE4">
        <v>0.73814292159602246</v>
      </c>
      <c r="AF4">
        <v>1</v>
      </c>
      <c r="AG4">
        <v>0.10800630066152045</v>
      </c>
      <c r="AH4">
        <v>6.6405321709233009E-2</v>
      </c>
      <c r="AI4">
        <v>4.3428720569029917E-2</v>
      </c>
      <c r="AJ4">
        <v>0.69894771255651145</v>
      </c>
      <c r="AK4">
        <v>1</v>
      </c>
      <c r="AL4">
        <v>0.10899161051697616</v>
      </c>
      <c r="AM4">
        <v>6.7977265906442305E-2</v>
      </c>
      <c r="AN4">
        <v>4.3598773019648228E-2</v>
      </c>
      <c r="AO4">
        <v>0.68165454700200001</v>
      </c>
      <c r="AP4">
        <v>1</v>
      </c>
      <c r="AQ4">
        <v>0.10211683703295348</v>
      </c>
      <c r="AR4">
        <v>6.821212867581318E-2</v>
      </c>
      <c r="AS4">
        <v>4.310013898597586E-2</v>
      </c>
      <c r="AT4">
        <v>0.66343286365378484</v>
      </c>
      <c r="AU4">
        <v>1</v>
      </c>
      <c r="AV4">
        <v>0.10005679033937305</v>
      </c>
      <c r="AW4">
        <v>6.6958410142750224E-2</v>
      </c>
      <c r="AX4">
        <v>4.4093441299214324E-2</v>
      </c>
      <c r="AY4">
        <v>0.75213437419975726</v>
      </c>
      <c r="AZ4">
        <v>1</v>
      </c>
      <c r="BA4">
        <v>0.10501448797345715</v>
      </c>
      <c r="BB4">
        <v>6.5081436840718584E-2</v>
      </c>
      <c r="BC4">
        <v>4.2407585825282097E-2</v>
      </c>
      <c r="BD4">
        <v>0.64408069527989009</v>
      </c>
      <c r="BE4">
        <v>1</v>
      </c>
      <c r="BF4">
        <v>9.7379040885653065E-2</v>
      </c>
      <c r="BG4">
        <v>6.3005167131793119E-2</v>
      </c>
      <c r="BH4">
        <v>4.0688848910365623E-2</v>
      </c>
      <c r="BI4">
        <v>0.67505865411617072</v>
      </c>
      <c r="BJ4">
        <v>1</v>
      </c>
      <c r="BK4">
        <v>9.4368982720558603E-2</v>
      </c>
      <c r="BL4">
        <v>6.2537547529142562E-2</v>
      </c>
      <c r="BM4">
        <v>4.1702433991800611E-2</v>
      </c>
      <c r="BN4">
        <v>0.75156999084610421</v>
      </c>
      <c r="BO4">
        <v>1</v>
      </c>
      <c r="BP4">
        <v>0.10937959530156023</v>
      </c>
      <c r="BQ4">
        <v>6.522020139376894E-2</v>
      </c>
      <c r="BR4">
        <v>4.2950159396799387E-2</v>
      </c>
    </row>
    <row r="5" spans="1:70" x14ac:dyDescent="0.15">
      <c r="A5">
        <v>0.74400081952611574</v>
      </c>
      <c r="B5">
        <v>1</v>
      </c>
      <c r="C5">
        <v>0.10509895620906128</v>
      </c>
      <c r="D5">
        <v>6.7756332392982385E-2</v>
      </c>
      <c r="E5">
        <v>4.3831656298329566E-2</v>
      </c>
      <c r="F5">
        <v>0.75228445898575347</v>
      </c>
      <c r="G5">
        <v>1</v>
      </c>
      <c r="H5">
        <v>0.10336426243451355</v>
      </c>
      <c r="I5">
        <v>6.7108419993350446E-2</v>
      </c>
      <c r="J5">
        <v>4.2390809547107368E-2</v>
      </c>
      <c r="K5">
        <v>0.84656988550059287</v>
      </c>
      <c r="L5">
        <v>1</v>
      </c>
      <c r="M5">
        <v>0.10675640614638077</v>
      </c>
      <c r="N5">
        <v>6.5034598730334389E-2</v>
      </c>
      <c r="O5">
        <v>4.2818076413690252E-2</v>
      </c>
      <c r="P5">
        <v>0.58216412500786374</v>
      </c>
      <c r="Q5">
        <v>1</v>
      </c>
      <c r="R5">
        <v>8.2230559224844901E-2</v>
      </c>
      <c r="S5">
        <v>6.4793997024240685E-2</v>
      </c>
      <c r="T5">
        <v>4.0831314805489856E-2</v>
      </c>
      <c r="U5">
        <v>0.61568112599239266</v>
      </c>
      <c r="V5">
        <v>1</v>
      </c>
      <c r="W5">
        <v>9.6420257554910654E-2</v>
      </c>
      <c r="X5">
        <v>6.5715672396173944E-2</v>
      </c>
      <c r="Y5">
        <v>4.3088689768608322E-2</v>
      </c>
      <c r="Z5">
        <v>0.64467414018325764</v>
      </c>
      <c r="AA5">
        <v>1</v>
      </c>
      <c r="AB5">
        <v>9.8055525593906179E-2</v>
      </c>
      <c r="AC5">
        <v>6.7196003562566775E-2</v>
      </c>
      <c r="AD5">
        <v>4.422506546771051E-2</v>
      </c>
      <c r="AE5">
        <v>0.74623105192962325</v>
      </c>
      <c r="AF5">
        <v>1</v>
      </c>
      <c r="AG5">
        <v>0.10351298780245818</v>
      </c>
      <c r="AH5">
        <v>6.6911314241933723E-2</v>
      </c>
      <c r="AI5">
        <v>4.4453955390693585E-2</v>
      </c>
      <c r="AJ5">
        <v>0.68798925368906816</v>
      </c>
      <c r="AK5">
        <v>1</v>
      </c>
      <c r="AL5">
        <v>0.10571212235141557</v>
      </c>
      <c r="AM5">
        <v>6.6288041314440563E-2</v>
      </c>
      <c r="AN5">
        <v>4.3283665998889984E-2</v>
      </c>
      <c r="AO5">
        <v>0.67744240513873633</v>
      </c>
      <c r="AP5">
        <v>1</v>
      </c>
      <c r="AQ5">
        <v>0.10469493606819702</v>
      </c>
      <c r="AR5">
        <v>6.7444134827542426E-2</v>
      </c>
      <c r="AS5">
        <v>4.2031764681016173E-2</v>
      </c>
      <c r="AT5">
        <v>0.65060314889129678</v>
      </c>
      <c r="AU5">
        <v>1</v>
      </c>
      <c r="AV5">
        <v>0.10082804492192142</v>
      </c>
      <c r="AW5">
        <v>6.6560081058768414E-2</v>
      </c>
      <c r="AX5">
        <v>4.3710425918930873E-2</v>
      </c>
      <c r="AY5">
        <v>0.75313120835281444</v>
      </c>
      <c r="AZ5">
        <v>1</v>
      </c>
      <c r="BA5">
        <v>0.10194320784261902</v>
      </c>
      <c r="BB5">
        <v>6.5570484199009349E-2</v>
      </c>
      <c r="BC5">
        <v>4.3227299436726999E-2</v>
      </c>
      <c r="BD5">
        <v>0.65987102051951885</v>
      </c>
      <c r="BE5">
        <v>1</v>
      </c>
      <c r="BF5">
        <v>9.1454140825973168E-2</v>
      </c>
      <c r="BG5">
        <v>6.2947147887352867E-2</v>
      </c>
      <c r="BH5">
        <v>4.0624675453158503E-2</v>
      </c>
      <c r="BI5">
        <v>0.65734170568774941</v>
      </c>
      <c r="BJ5">
        <v>1</v>
      </c>
      <c r="BK5">
        <v>9.3609875487446273E-2</v>
      </c>
      <c r="BL5">
        <v>6.2398913806303219E-2</v>
      </c>
      <c r="BM5">
        <v>4.1800184432467212E-2</v>
      </c>
      <c r="BN5">
        <v>0.75097066403387613</v>
      </c>
      <c r="BO5">
        <v>1</v>
      </c>
      <c r="BP5">
        <v>0.10583887153940662</v>
      </c>
      <c r="BQ5">
        <v>6.5574720835557612E-2</v>
      </c>
      <c r="BR5">
        <v>4.3423346908987664E-2</v>
      </c>
    </row>
    <row r="6" spans="1:70" x14ac:dyDescent="0.15">
      <c r="A6">
        <v>0.72694240770780638</v>
      </c>
      <c r="B6">
        <v>1</v>
      </c>
      <c r="C6">
        <v>0.10231955420104827</v>
      </c>
      <c r="D6">
        <v>6.642078588097311E-2</v>
      </c>
      <c r="E6">
        <v>4.3012401979937352E-2</v>
      </c>
      <c r="F6">
        <v>0.76356312774816892</v>
      </c>
      <c r="G6">
        <v>1</v>
      </c>
      <c r="H6">
        <v>0.10283332714523076</v>
      </c>
      <c r="I6">
        <v>6.7004564463772523E-2</v>
      </c>
      <c r="J6">
        <v>4.341658048137495E-2</v>
      </c>
      <c r="K6">
        <v>0.84577151169940634</v>
      </c>
      <c r="L6">
        <v>1</v>
      </c>
      <c r="M6">
        <v>0.11698543206919154</v>
      </c>
      <c r="N6">
        <v>6.4726870988340485E-2</v>
      </c>
      <c r="O6">
        <v>4.3394108670198578E-2</v>
      </c>
      <c r="P6">
        <v>0.60312810852886367</v>
      </c>
      <c r="Q6">
        <v>1</v>
      </c>
      <c r="R6">
        <v>8.6323689056562458E-2</v>
      </c>
      <c r="S6">
        <v>6.3303383047114983E-2</v>
      </c>
      <c r="T6">
        <v>4.1612329720660812E-2</v>
      </c>
      <c r="U6">
        <v>0.60667934272260671</v>
      </c>
      <c r="V6">
        <v>1</v>
      </c>
      <c r="W6">
        <v>8.8028431249827274E-2</v>
      </c>
      <c r="X6">
        <v>6.4266544642461926E-2</v>
      </c>
      <c r="Y6">
        <v>4.1710704207355453E-2</v>
      </c>
      <c r="Z6">
        <v>0.63764317728354203</v>
      </c>
      <c r="AA6">
        <v>1</v>
      </c>
      <c r="AB6">
        <v>0.10177216405805427</v>
      </c>
      <c r="AC6">
        <v>6.6301950075236302E-2</v>
      </c>
      <c r="AD6">
        <v>4.3597668442279497E-2</v>
      </c>
      <c r="AE6">
        <v>0.75944942601916487</v>
      </c>
      <c r="AF6">
        <v>1</v>
      </c>
      <c r="AG6">
        <v>0.10942733277842673</v>
      </c>
      <c r="AH6">
        <v>6.6455245148151015E-2</v>
      </c>
      <c r="AI6">
        <v>4.4232844634917216E-2</v>
      </c>
      <c r="AJ6">
        <v>0.69594155367137955</v>
      </c>
      <c r="AK6">
        <v>1</v>
      </c>
      <c r="AL6">
        <v>0.10446917211119483</v>
      </c>
      <c r="AM6">
        <v>6.8048697171577938E-2</v>
      </c>
      <c r="AN6">
        <v>4.4511826739202232E-2</v>
      </c>
      <c r="AO6">
        <v>0.67722140092559169</v>
      </c>
      <c r="AP6">
        <v>1</v>
      </c>
      <c r="AQ6">
        <v>0.10094936470357276</v>
      </c>
      <c r="AR6">
        <v>6.6941426350879046E-2</v>
      </c>
      <c r="AS6">
        <v>4.3404531629874211E-2</v>
      </c>
      <c r="AT6">
        <v>0.64699946427762811</v>
      </c>
      <c r="AU6">
        <v>1</v>
      </c>
      <c r="AV6">
        <v>9.4900835800868943E-2</v>
      </c>
      <c r="AW6">
        <v>6.5618135054234056E-2</v>
      </c>
      <c r="AX6">
        <v>4.3435931438429796E-2</v>
      </c>
      <c r="AY6">
        <v>0.74028503579053484</v>
      </c>
      <c r="AZ6">
        <v>1</v>
      </c>
      <c r="BA6">
        <v>0.10885313312207395</v>
      </c>
      <c r="BB6">
        <v>6.4408340419736726E-2</v>
      </c>
      <c r="BC6">
        <v>4.2661287901184751E-2</v>
      </c>
      <c r="BD6">
        <v>0.64831078029039513</v>
      </c>
      <c r="BE6">
        <v>1</v>
      </c>
      <c r="BF6">
        <v>9.662012105692204E-2</v>
      </c>
      <c r="BG6">
        <v>6.3588453373372142E-2</v>
      </c>
      <c r="BH6">
        <v>4.0621381743733948E-2</v>
      </c>
      <c r="BI6">
        <v>0.66527481902963559</v>
      </c>
      <c r="BJ6">
        <v>1</v>
      </c>
      <c r="BK6">
        <v>9.7722665747265278E-2</v>
      </c>
      <c r="BL6">
        <v>6.2601326989018852E-2</v>
      </c>
      <c r="BM6">
        <v>4.2262673498582218E-2</v>
      </c>
      <c r="BN6">
        <v>0.72547253583035298</v>
      </c>
      <c r="BO6">
        <v>1</v>
      </c>
      <c r="BP6">
        <v>0.10657870354585809</v>
      </c>
      <c r="BQ6">
        <v>6.5397967203040266E-2</v>
      </c>
      <c r="BR6">
        <v>4.2695013098793158E-2</v>
      </c>
    </row>
    <row r="7" spans="1:70" x14ac:dyDescent="0.15">
      <c r="A7">
        <v>0.72711336632432488</v>
      </c>
      <c r="B7">
        <v>1</v>
      </c>
      <c r="C7">
        <v>0.10492536510647503</v>
      </c>
      <c r="D7">
        <v>6.7716998941118864E-2</v>
      </c>
      <c r="E7">
        <v>4.285558729718425E-2</v>
      </c>
      <c r="F7">
        <v>0.75523311923959957</v>
      </c>
      <c r="G7">
        <v>1</v>
      </c>
      <c r="H7">
        <v>0.10348369679135186</v>
      </c>
      <c r="I7">
        <v>6.5266169861245796E-2</v>
      </c>
      <c r="J7">
        <v>4.3449387590830217E-2</v>
      </c>
      <c r="K7">
        <v>0.84180585418899856</v>
      </c>
      <c r="L7">
        <v>1</v>
      </c>
      <c r="M7">
        <v>0.11610843935863101</v>
      </c>
      <c r="N7">
        <v>6.679386932412458E-2</v>
      </c>
      <c r="O7">
        <v>4.286187345469479E-2</v>
      </c>
      <c r="P7">
        <v>0.58176142465348235</v>
      </c>
      <c r="Q7">
        <v>1</v>
      </c>
      <c r="R7">
        <v>8.6424547704735746E-2</v>
      </c>
      <c r="S7">
        <v>6.3559404458143176E-2</v>
      </c>
      <c r="T7">
        <v>4.1652667140557403E-2</v>
      </c>
      <c r="U7">
        <v>0.62029407278797954</v>
      </c>
      <c r="V7">
        <v>1</v>
      </c>
      <c r="W7">
        <v>8.6433726621973503E-2</v>
      </c>
      <c r="X7">
        <v>6.3791634662267241E-2</v>
      </c>
      <c r="Y7">
        <v>4.0584389558355166E-2</v>
      </c>
      <c r="Z7">
        <v>0.64362335421037842</v>
      </c>
      <c r="AA7">
        <v>1</v>
      </c>
      <c r="AB7">
        <v>0.10016919841292059</v>
      </c>
      <c r="AC7">
        <v>6.711202739521771E-2</v>
      </c>
      <c r="AD7">
        <v>4.4843118304391354E-2</v>
      </c>
      <c r="AE7">
        <v>0.73895166291080172</v>
      </c>
      <c r="AF7">
        <v>1</v>
      </c>
      <c r="AG7">
        <v>0.10798719875466517</v>
      </c>
      <c r="AH7">
        <v>6.5699418696649164E-2</v>
      </c>
      <c r="AI7">
        <v>4.3561984014135129E-2</v>
      </c>
      <c r="AJ7">
        <v>0.68522859569745787</v>
      </c>
      <c r="AK7">
        <v>1</v>
      </c>
      <c r="AL7">
        <v>9.4710146678802024E-2</v>
      </c>
      <c r="AM7">
        <v>6.6909668235140704E-2</v>
      </c>
      <c r="AN7">
        <v>4.3547906324013202E-2</v>
      </c>
      <c r="AO7">
        <v>0.67529777668771662</v>
      </c>
      <c r="AP7">
        <v>1</v>
      </c>
      <c r="AQ7">
        <v>0.10132209608448259</v>
      </c>
      <c r="AR7">
        <v>6.5631893366364311E-2</v>
      </c>
      <c r="AS7">
        <v>4.4089704753065721E-2</v>
      </c>
      <c r="AT7">
        <v>0.65114654252355642</v>
      </c>
      <c r="AU7">
        <v>1</v>
      </c>
      <c r="AV7">
        <v>9.8446438864062458E-2</v>
      </c>
      <c r="AW7">
        <v>6.7189852605230971E-2</v>
      </c>
      <c r="AX7">
        <v>4.400918719452003E-2</v>
      </c>
      <c r="AY7">
        <v>0.75939472619182369</v>
      </c>
      <c r="AZ7">
        <v>1</v>
      </c>
      <c r="BA7">
        <v>0.10894062095797598</v>
      </c>
      <c r="BB7">
        <v>6.6096469594586982E-2</v>
      </c>
      <c r="BC7">
        <v>4.222803183178675E-2</v>
      </c>
      <c r="BD7">
        <v>0.65184493075368133</v>
      </c>
      <c r="BE7">
        <v>1</v>
      </c>
      <c r="BF7">
        <v>9.3573623574200834E-2</v>
      </c>
      <c r="BG7">
        <v>6.116829021720141E-2</v>
      </c>
      <c r="BH7">
        <v>4.0612919199360699E-2</v>
      </c>
      <c r="BI7">
        <v>0.66200100320389299</v>
      </c>
      <c r="BJ7">
        <v>1</v>
      </c>
      <c r="BK7">
        <v>9.9066381511534865E-2</v>
      </c>
      <c r="BL7">
        <v>6.4120920473027573E-2</v>
      </c>
      <c r="BM7">
        <v>4.2661241579703066E-2</v>
      </c>
      <c r="BN7">
        <v>0.75499839604645957</v>
      </c>
      <c r="BO7">
        <v>1</v>
      </c>
      <c r="BP7">
        <v>0.1007774474277757</v>
      </c>
      <c r="BQ7">
        <v>6.516991641604282E-2</v>
      </c>
      <c r="BR7">
        <v>4.2281578552454915E-2</v>
      </c>
    </row>
    <row r="8" spans="1:70" x14ac:dyDescent="0.15">
      <c r="A8">
        <v>0.74261920678989579</v>
      </c>
      <c r="B8">
        <v>1</v>
      </c>
      <c r="C8">
        <v>0.10260604096638544</v>
      </c>
      <c r="D8">
        <v>6.8530322291114235E-2</v>
      </c>
      <c r="E8">
        <v>4.254493824671559E-2</v>
      </c>
      <c r="F8">
        <v>0.78193147429594578</v>
      </c>
      <c r="G8">
        <v>1</v>
      </c>
      <c r="H8">
        <v>0.10537455740856194</v>
      </c>
      <c r="I8">
        <v>6.7050557325741819E-2</v>
      </c>
      <c r="J8">
        <v>4.2049551826220721E-2</v>
      </c>
      <c r="K8">
        <v>0.85363556103854676</v>
      </c>
      <c r="L8">
        <v>1</v>
      </c>
      <c r="M8">
        <v>0.11225036538796281</v>
      </c>
      <c r="N8">
        <v>6.5579936285730112E-2</v>
      </c>
      <c r="O8">
        <v>4.3627623415620827E-2</v>
      </c>
      <c r="P8">
        <v>0.59121810949747111</v>
      </c>
      <c r="Q8">
        <v>1</v>
      </c>
      <c r="R8">
        <v>9.0994426693675967E-2</v>
      </c>
      <c r="S8">
        <v>6.5841962573058924E-2</v>
      </c>
      <c r="T8">
        <v>4.1014280100895861E-2</v>
      </c>
      <c r="U8">
        <v>0.61838476979765</v>
      </c>
      <c r="V8">
        <v>1</v>
      </c>
      <c r="W8">
        <v>8.6889821199546885E-2</v>
      </c>
      <c r="X8">
        <v>6.5175085487876247E-2</v>
      </c>
      <c r="Y8">
        <v>4.1839516381723771E-2</v>
      </c>
      <c r="Z8">
        <v>0.64286015191863999</v>
      </c>
      <c r="AA8">
        <v>1</v>
      </c>
      <c r="AB8">
        <v>9.9906214718872594E-2</v>
      </c>
      <c r="AC8">
        <v>6.7872988396091335E-2</v>
      </c>
      <c r="AD8">
        <v>4.3386841220378662E-2</v>
      </c>
      <c r="AE8">
        <v>0.76217154497934947</v>
      </c>
      <c r="AF8">
        <v>1</v>
      </c>
      <c r="AG8">
        <v>0.10964213806547671</v>
      </c>
      <c r="AH8">
        <v>6.7060089226795044E-2</v>
      </c>
      <c r="AI8">
        <v>4.3220412499076107E-2</v>
      </c>
      <c r="AJ8">
        <v>0.6953189637180146</v>
      </c>
      <c r="AK8">
        <v>1</v>
      </c>
      <c r="AL8">
        <v>9.5843183140972565E-2</v>
      </c>
      <c r="AM8">
        <v>6.8322898578623073E-2</v>
      </c>
      <c r="AN8">
        <v>4.4739456347473602E-2</v>
      </c>
      <c r="AO8">
        <v>0.66612712053079537</v>
      </c>
      <c r="AP8">
        <v>1</v>
      </c>
      <c r="AQ8">
        <v>0.10258959868836091</v>
      </c>
      <c r="AR8">
        <v>6.7136353831901752E-2</v>
      </c>
      <c r="AS8">
        <v>4.3746410123562604E-2</v>
      </c>
      <c r="AT8">
        <v>0.64952799910114722</v>
      </c>
      <c r="AU8">
        <v>1</v>
      </c>
      <c r="AV8">
        <v>0.10017385604403742</v>
      </c>
      <c r="AW8">
        <v>6.7297815202702824E-2</v>
      </c>
      <c r="AX8">
        <v>4.3525422739465469E-2</v>
      </c>
      <c r="AY8">
        <v>0.75484123248274992</v>
      </c>
      <c r="AZ8">
        <v>1</v>
      </c>
      <c r="BA8">
        <v>0.10244599243411114</v>
      </c>
      <c r="BB8">
        <v>6.4470110676564468E-2</v>
      </c>
      <c r="BC8">
        <v>4.2502405196934795E-2</v>
      </c>
      <c r="BD8">
        <v>0.65028045991907946</v>
      </c>
      <c r="BE8">
        <v>1</v>
      </c>
      <c r="BF8">
        <v>9.3966400258226682E-2</v>
      </c>
      <c r="BG8">
        <v>6.2455988514762563E-2</v>
      </c>
      <c r="BH8">
        <v>4.1052160101502318E-2</v>
      </c>
      <c r="BI8">
        <v>0.6558695794731928</v>
      </c>
      <c r="BJ8">
        <v>1</v>
      </c>
      <c r="BK8">
        <v>9.8474158890914404E-2</v>
      </c>
      <c r="BL8">
        <v>6.4723801962855237E-2</v>
      </c>
      <c r="BM8">
        <v>4.1668971006053934E-2</v>
      </c>
      <c r="BN8">
        <v>0.74400724228413295</v>
      </c>
      <c r="BO8">
        <v>1</v>
      </c>
      <c r="BP8">
        <v>0.10487984336080085</v>
      </c>
      <c r="BQ8">
        <v>6.4695754925837845E-2</v>
      </c>
      <c r="BR8">
        <v>4.2749137732811651E-2</v>
      </c>
    </row>
    <row r="9" spans="1:70" x14ac:dyDescent="0.15">
      <c r="A9">
        <v>0.73768902745111042</v>
      </c>
      <c r="B9">
        <v>1</v>
      </c>
      <c r="C9">
        <v>0.10713053493654852</v>
      </c>
      <c r="D9">
        <v>6.7493668937213244E-2</v>
      </c>
      <c r="E9">
        <v>4.3498235985219694E-2</v>
      </c>
      <c r="F9">
        <v>0.75698330186076024</v>
      </c>
      <c r="G9">
        <v>1</v>
      </c>
      <c r="H9">
        <v>0.10234947641092892</v>
      </c>
      <c r="I9">
        <v>6.6186527241775067E-2</v>
      </c>
      <c r="J9">
        <v>4.1648291025177517E-2</v>
      </c>
      <c r="K9">
        <v>0.84798466904127312</v>
      </c>
      <c r="L9">
        <v>1</v>
      </c>
      <c r="M9">
        <v>0.11619091751903179</v>
      </c>
      <c r="N9">
        <v>6.5591093033456033E-2</v>
      </c>
      <c r="O9">
        <v>4.4467516244559288E-2</v>
      </c>
      <c r="P9">
        <v>0.57965739251163351</v>
      </c>
      <c r="Q9">
        <v>1</v>
      </c>
      <c r="R9">
        <v>8.5422729485102947E-2</v>
      </c>
      <c r="S9">
        <v>6.5015445187358661E-2</v>
      </c>
      <c r="T9">
        <v>4.1125555806006769E-2</v>
      </c>
      <c r="U9">
        <v>0.61620707269503838</v>
      </c>
      <c r="V9">
        <v>1</v>
      </c>
      <c r="W9">
        <v>9.2108732021008055E-2</v>
      </c>
      <c r="X9">
        <v>6.5386281498036741E-2</v>
      </c>
      <c r="Y9">
        <v>4.1777033560977422E-2</v>
      </c>
      <c r="Z9">
        <v>0.63929390920559626</v>
      </c>
      <c r="AA9">
        <v>1</v>
      </c>
      <c r="AB9">
        <v>0.1010253443219119</v>
      </c>
      <c r="AC9">
        <v>6.6921360232604157E-2</v>
      </c>
      <c r="AD9">
        <v>4.4455466423177749E-2</v>
      </c>
      <c r="AE9">
        <v>0.76355312457038682</v>
      </c>
      <c r="AF9">
        <v>1</v>
      </c>
      <c r="AG9">
        <v>0.10548065299999509</v>
      </c>
      <c r="AH9">
        <v>6.5991538540127292E-2</v>
      </c>
      <c r="AI9">
        <v>4.3820026862677809E-2</v>
      </c>
      <c r="AJ9">
        <v>0.69836936702702912</v>
      </c>
      <c r="AK9">
        <v>1</v>
      </c>
      <c r="AL9">
        <v>0.10343914753636441</v>
      </c>
      <c r="AM9">
        <v>6.7347975250889119E-2</v>
      </c>
      <c r="AN9">
        <v>4.391647938798212E-2</v>
      </c>
      <c r="AO9">
        <v>0.66759105039046085</v>
      </c>
      <c r="AP9">
        <v>1</v>
      </c>
      <c r="AQ9">
        <v>9.5520689254421323E-2</v>
      </c>
      <c r="AR9">
        <v>6.6115905332346042E-2</v>
      </c>
      <c r="AS9">
        <v>4.3673095104261615E-2</v>
      </c>
      <c r="AT9">
        <v>0.6647115098488382</v>
      </c>
      <c r="AU9">
        <v>1</v>
      </c>
      <c r="AV9">
        <v>0.10525442217036135</v>
      </c>
      <c r="AW9">
        <v>6.6933795308844551E-2</v>
      </c>
      <c r="AX9">
        <v>4.1890761880539237E-2</v>
      </c>
      <c r="AY9">
        <v>0.75881126420334277</v>
      </c>
      <c r="AZ9">
        <v>1</v>
      </c>
      <c r="BA9">
        <v>0.10902319993356793</v>
      </c>
      <c r="BB9">
        <v>6.4360358798238579E-2</v>
      </c>
      <c r="BC9">
        <v>4.2063158695448931E-2</v>
      </c>
      <c r="BD9">
        <v>0.64246907863895963</v>
      </c>
      <c r="BE9">
        <v>1</v>
      </c>
      <c r="BF9">
        <v>9.5102488453157941E-2</v>
      </c>
      <c r="BG9">
        <v>6.3429909949467761E-2</v>
      </c>
      <c r="BH9">
        <v>4.1365891732870884E-2</v>
      </c>
      <c r="BI9">
        <v>0.68418608622304922</v>
      </c>
      <c r="BJ9">
        <v>1</v>
      </c>
      <c r="BK9">
        <v>9.3987378014981762E-2</v>
      </c>
      <c r="BL9">
        <v>6.3368697793784831E-2</v>
      </c>
      <c r="BM9">
        <v>4.2111747259179641E-2</v>
      </c>
      <c r="BN9">
        <v>0.74354431617071837</v>
      </c>
      <c r="BO9">
        <v>1</v>
      </c>
      <c r="BP9">
        <v>0.10238856137208967</v>
      </c>
      <c r="BQ9">
        <v>6.5063436716726764E-2</v>
      </c>
      <c r="BR9">
        <v>4.2840937142087678E-2</v>
      </c>
    </row>
    <row r="10" spans="1:70" x14ac:dyDescent="0.15">
      <c r="A10">
        <v>0.74149609358649016</v>
      </c>
      <c r="B10">
        <v>1</v>
      </c>
      <c r="C10">
        <v>0.10168559189061244</v>
      </c>
      <c r="D10">
        <v>6.7807165482192969E-2</v>
      </c>
      <c r="E10">
        <v>4.4055500039651314E-2</v>
      </c>
      <c r="F10">
        <v>0.75631976753314456</v>
      </c>
      <c r="G10">
        <v>1</v>
      </c>
      <c r="H10">
        <v>0.10626420507688174</v>
      </c>
      <c r="I10">
        <v>6.6254270036127244E-2</v>
      </c>
      <c r="J10">
        <v>4.3347158585986159E-2</v>
      </c>
      <c r="K10">
        <v>0.84412365976911918</v>
      </c>
      <c r="L10">
        <v>1</v>
      </c>
      <c r="M10">
        <v>0.11349585558976574</v>
      </c>
      <c r="N10">
        <v>6.5021554238322801E-2</v>
      </c>
      <c r="O10">
        <v>4.3211031632813771E-2</v>
      </c>
      <c r="P10">
        <v>0.58421000813041513</v>
      </c>
      <c r="Q10">
        <v>1</v>
      </c>
      <c r="R10">
        <v>8.1301804000496442E-2</v>
      </c>
      <c r="S10">
        <v>6.4381346162796352E-2</v>
      </c>
      <c r="T10">
        <v>4.2420165666101586E-2</v>
      </c>
      <c r="U10">
        <v>0.61744051971799718</v>
      </c>
      <c r="V10">
        <v>1</v>
      </c>
      <c r="W10">
        <v>9.0385047732743376E-2</v>
      </c>
      <c r="X10">
        <v>6.5781855242632831E-2</v>
      </c>
      <c r="Y10">
        <v>4.1242464880528767E-2</v>
      </c>
      <c r="Z10">
        <v>0.6397763367295638</v>
      </c>
      <c r="AA10">
        <v>1</v>
      </c>
      <c r="AB10">
        <v>0.10248248860588272</v>
      </c>
      <c r="AC10">
        <v>6.6886502043070728E-2</v>
      </c>
      <c r="AD10">
        <v>4.4770904808101003E-2</v>
      </c>
      <c r="AE10">
        <v>0.76513098408757518</v>
      </c>
      <c r="AF10">
        <v>1</v>
      </c>
      <c r="AG10">
        <v>0.10868010312342738</v>
      </c>
      <c r="AH10">
        <v>6.7188984753630734E-2</v>
      </c>
      <c r="AI10">
        <v>4.4599409693949717E-2</v>
      </c>
      <c r="AJ10">
        <v>0.69103572206041386</v>
      </c>
      <c r="AK10">
        <v>1</v>
      </c>
      <c r="AL10">
        <v>9.927265277241526E-2</v>
      </c>
      <c r="AM10">
        <v>6.8296598228275648E-2</v>
      </c>
      <c r="AN10">
        <v>4.4722891046011376E-2</v>
      </c>
      <c r="AO10">
        <v>0.67454472234461416</v>
      </c>
      <c r="AP10">
        <v>1</v>
      </c>
      <c r="AQ10">
        <v>0.10154363945315685</v>
      </c>
      <c r="AR10">
        <v>6.7788772269512382E-2</v>
      </c>
      <c r="AS10">
        <v>4.3610779657700494E-2</v>
      </c>
      <c r="AT10">
        <v>0.65036244574215918</v>
      </c>
      <c r="AU10">
        <v>1</v>
      </c>
      <c r="AV10">
        <v>9.8346389887855129E-2</v>
      </c>
      <c r="AW10">
        <v>6.5977967762551271E-2</v>
      </c>
      <c r="AX10">
        <v>4.2616866122575925E-2</v>
      </c>
      <c r="AY10">
        <v>0.76412276983252925</v>
      </c>
      <c r="AZ10">
        <v>1</v>
      </c>
      <c r="BA10">
        <v>0.10804546436794116</v>
      </c>
      <c r="BB10">
        <v>6.6263904214142341E-2</v>
      </c>
      <c r="BC10">
        <v>4.3180723102002425E-2</v>
      </c>
      <c r="BD10">
        <v>0.65002151998116697</v>
      </c>
      <c r="BE10">
        <v>1</v>
      </c>
      <c r="BF10">
        <v>9.5278333176123498E-2</v>
      </c>
      <c r="BG10">
        <v>6.2268887307743631E-2</v>
      </c>
      <c r="BH10">
        <v>4.0327140148764387E-2</v>
      </c>
      <c r="BI10">
        <v>0.65835276376957041</v>
      </c>
      <c r="BJ10">
        <v>1</v>
      </c>
      <c r="BK10">
        <v>0.10058120331421659</v>
      </c>
      <c r="BL10">
        <v>6.4905816632751884E-2</v>
      </c>
      <c r="BM10">
        <v>4.1180971850090856E-2</v>
      </c>
      <c r="BN10">
        <v>0.7448149889918535</v>
      </c>
      <c r="BO10">
        <v>1</v>
      </c>
      <c r="BP10">
        <v>0.10355868510966086</v>
      </c>
      <c r="BQ10">
        <v>6.5055961817288455E-2</v>
      </c>
      <c r="BR10">
        <v>4.3414650444417627E-2</v>
      </c>
    </row>
    <row r="11" spans="1:70" x14ac:dyDescent="0.15">
      <c r="A11">
        <v>0.73360901466707873</v>
      </c>
      <c r="B11">
        <v>1</v>
      </c>
      <c r="C11">
        <v>0.10015397526958643</v>
      </c>
      <c r="D11">
        <v>6.6410625167098558E-2</v>
      </c>
      <c r="E11">
        <v>4.3181189006530597E-2</v>
      </c>
      <c r="F11">
        <v>0.7464495144737926</v>
      </c>
      <c r="G11">
        <v>1</v>
      </c>
      <c r="H11">
        <v>0.10778246323142233</v>
      </c>
      <c r="I11">
        <v>6.710694890238636E-2</v>
      </c>
      <c r="J11">
        <v>4.2611719974521338E-2</v>
      </c>
      <c r="K11">
        <v>0.84495748781739066</v>
      </c>
      <c r="L11">
        <v>1</v>
      </c>
      <c r="M11">
        <v>0.11502355473018587</v>
      </c>
      <c r="N11">
        <v>6.4886646518136831E-2</v>
      </c>
      <c r="O11">
        <v>4.3495842355052196E-2</v>
      </c>
      <c r="P11">
        <v>0.59170012943148087</v>
      </c>
      <c r="Q11">
        <v>1</v>
      </c>
      <c r="R11">
        <v>8.2332304208188864E-2</v>
      </c>
      <c r="S11">
        <v>6.5360838565578186E-2</v>
      </c>
      <c r="T11">
        <v>4.220018335370037E-2</v>
      </c>
      <c r="U11">
        <v>0.61242291042474994</v>
      </c>
      <c r="V11">
        <v>1</v>
      </c>
      <c r="W11">
        <v>8.7262309009818823E-2</v>
      </c>
      <c r="X11">
        <v>6.4602855116194707E-2</v>
      </c>
      <c r="Y11">
        <v>4.2221432576897353E-2</v>
      </c>
      <c r="Z11">
        <v>0.63504005275922826</v>
      </c>
      <c r="AA11">
        <v>1</v>
      </c>
      <c r="AB11">
        <v>9.4671983913443378E-2</v>
      </c>
      <c r="AC11">
        <v>6.7283933131682142E-2</v>
      </c>
      <c r="AD11">
        <v>4.3870841422535736E-2</v>
      </c>
      <c r="AE11">
        <v>0.74356284401788642</v>
      </c>
      <c r="AF11">
        <v>1</v>
      </c>
      <c r="AG11">
        <v>0.11453845071330589</v>
      </c>
      <c r="AH11">
        <v>6.824928339560063E-2</v>
      </c>
      <c r="AI11">
        <v>4.5399240783931392E-2</v>
      </c>
      <c r="AJ11">
        <v>0.71256411680746234</v>
      </c>
      <c r="AK11">
        <v>1</v>
      </c>
      <c r="AL11">
        <v>0.10047547880666767</v>
      </c>
      <c r="AM11">
        <v>6.7465807332635006E-2</v>
      </c>
      <c r="AN11">
        <v>4.3607495122860204E-2</v>
      </c>
      <c r="AO11">
        <v>0.68008674761001475</v>
      </c>
      <c r="AP11">
        <v>1</v>
      </c>
      <c r="AQ11">
        <v>9.882596016085389E-2</v>
      </c>
      <c r="AR11">
        <v>6.6385471674325611E-2</v>
      </c>
      <c r="AS11">
        <v>4.3466136268399277E-2</v>
      </c>
      <c r="AT11">
        <v>0.64235935262827182</v>
      </c>
      <c r="AU11">
        <v>1</v>
      </c>
      <c r="AV11">
        <v>9.5004375947889477E-2</v>
      </c>
      <c r="AW11">
        <v>6.6060700392112648E-2</v>
      </c>
      <c r="AX11">
        <v>4.3944055589980109E-2</v>
      </c>
      <c r="AY11">
        <v>0.74166212485789451</v>
      </c>
      <c r="AZ11">
        <v>1</v>
      </c>
      <c r="BA11">
        <v>0.10309866163519829</v>
      </c>
      <c r="BB11">
        <v>6.601363147683699E-2</v>
      </c>
      <c r="BC11">
        <v>4.2494447797152071E-2</v>
      </c>
      <c r="BD11">
        <v>0.6552644003754533</v>
      </c>
      <c r="BE11">
        <v>1</v>
      </c>
      <c r="BF11">
        <v>9.3505576558515976E-2</v>
      </c>
      <c r="BG11">
        <v>6.3630599687834785E-2</v>
      </c>
      <c r="BH11">
        <v>4.0075579047466468E-2</v>
      </c>
      <c r="BI11">
        <v>0.6751523303595568</v>
      </c>
      <c r="BJ11">
        <v>1</v>
      </c>
      <c r="BK11">
        <v>0.10027049228204252</v>
      </c>
      <c r="BL11">
        <v>6.4611109635316952E-2</v>
      </c>
      <c r="BM11">
        <v>4.0826397841593198E-2</v>
      </c>
      <c r="BN11">
        <v>0.7509303490835868</v>
      </c>
      <c r="BO11">
        <v>1</v>
      </c>
      <c r="BP11">
        <v>0.10118812843815485</v>
      </c>
      <c r="BQ11">
        <v>6.4107553740101547E-2</v>
      </c>
      <c r="BR11">
        <v>4.2383088664281483E-2</v>
      </c>
    </row>
    <row r="12" spans="1:70" x14ac:dyDescent="0.15">
      <c r="A12">
        <v>0.73280420373858202</v>
      </c>
      <c r="B12">
        <v>1</v>
      </c>
      <c r="C12">
        <v>0.10406858239770826</v>
      </c>
      <c r="D12">
        <v>6.8273705069128249E-2</v>
      </c>
      <c r="E12">
        <v>4.439290787926406E-2</v>
      </c>
      <c r="F12">
        <v>0.75885866516721423</v>
      </c>
      <c r="G12">
        <v>1</v>
      </c>
      <c r="H12">
        <v>0.10867975917780524</v>
      </c>
      <c r="I12">
        <v>6.7217873608008932E-2</v>
      </c>
      <c r="J12">
        <v>4.2592597194965699E-2</v>
      </c>
      <c r="K12">
        <v>0.84800780981725243</v>
      </c>
      <c r="L12">
        <v>1</v>
      </c>
      <c r="M12">
        <v>0.11328041440609317</v>
      </c>
      <c r="N12">
        <v>6.6041991820745258E-2</v>
      </c>
      <c r="O12">
        <v>4.2723179217116783E-2</v>
      </c>
      <c r="P12">
        <v>0.59142548618967183</v>
      </c>
      <c r="Q12">
        <v>1</v>
      </c>
      <c r="R12">
        <v>8.686401405731331E-2</v>
      </c>
      <c r="S12">
        <v>6.5863295576959205E-2</v>
      </c>
      <c r="T12">
        <v>4.1290668892589463E-2</v>
      </c>
      <c r="U12">
        <v>0.61439752193816533</v>
      </c>
      <c r="V12">
        <v>1</v>
      </c>
      <c r="W12">
        <v>9.1090365942480059E-2</v>
      </c>
      <c r="X12">
        <v>6.4832468128913509E-2</v>
      </c>
      <c r="Y12">
        <v>4.1321652692999263E-2</v>
      </c>
      <c r="Z12">
        <v>0.65181557802361567</v>
      </c>
      <c r="AA12">
        <v>1</v>
      </c>
      <c r="AB12">
        <v>0.10114115683078348</v>
      </c>
      <c r="AC12">
        <v>6.8324586430499795E-2</v>
      </c>
      <c r="AD12">
        <v>4.5484781609827392E-2</v>
      </c>
      <c r="AE12">
        <v>0.74636574132324063</v>
      </c>
      <c r="AF12">
        <v>1</v>
      </c>
      <c r="AG12">
        <v>0.110225161619875</v>
      </c>
      <c r="AH12">
        <v>6.610979440637324E-2</v>
      </c>
      <c r="AI12">
        <v>4.4304165614818133E-2</v>
      </c>
      <c r="AJ12">
        <v>0.701657924918762</v>
      </c>
      <c r="AK12">
        <v>1</v>
      </c>
      <c r="AL12">
        <v>0.10372314008234601</v>
      </c>
      <c r="AM12">
        <v>6.7628017340279567E-2</v>
      </c>
      <c r="AN12">
        <v>4.3640975896184063E-2</v>
      </c>
      <c r="AO12">
        <v>0.67386755425503442</v>
      </c>
      <c r="AP12">
        <v>1</v>
      </c>
      <c r="AQ12">
        <v>0.10429669864765928</v>
      </c>
      <c r="AR12">
        <v>6.7566793234650119E-2</v>
      </c>
      <c r="AS12">
        <v>4.3399028013948557E-2</v>
      </c>
      <c r="AT12">
        <v>0.64357150943227992</v>
      </c>
      <c r="AU12">
        <v>1</v>
      </c>
      <c r="AV12">
        <v>9.772475704892325E-2</v>
      </c>
      <c r="AW12">
        <v>6.6752278323604475E-2</v>
      </c>
      <c r="AX12">
        <v>4.3950219266812536E-2</v>
      </c>
      <c r="AY12">
        <v>0.74980947517997298</v>
      </c>
      <c r="AZ12">
        <v>1</v>
      </c>
      <c r="BA12">
        <v>0.10532840924081432</v>
      </c>
      <c r="BB12">
        <v>6.5123761928911783E-2</v>
      </c>
      <c r="BC12">
        <v>4.3323154063991884E-2</v>
      </c>
      <c r="BD12">
        <v>0.65339957669057425</v>
      </c>
      <c r="BE12">
        <v>1</v>
      </c>
      <c r="BF12">
        <v>9.6048409531551818E-2</v>
      </c>
      <c r="BG12">
        <v>6.3093773884343618E-2</v>
      </c>
      <c r="BH12">
        <v>4.0481940351680519E-2</v>
      </c>
      <c r="BI12">
        <v>0.66154924350975641</v>
      </c>
      <c r="BJ12">
        <v>1</v>
      </c>
      <c r="BK12">
        <v>9.7679548017333126E-2</v>
      </c>
      <c r="BL12">
        <v>6.4737680248653201E-2</v>
      </c>
      <c r="BM12">
        <v>4.1779813170981339E-2</v>
      </c>
      <c r="BN12">
        <v>0.74528972032116669</v>
      </c>
      <c r="BO12">
        <v>1</v>
      </c>
      <c r="BP12">
        <v>0.10610894006418932</v>
      </c>
      <c r="BQ12">
        <v>6.4412761729688156E-2</v>
      </c>
      <c r="BR12">
        <v>4.2825064570184812E-2</v>
      </c>
    </row>
    <row r="13" spans="1:70" x14ac:dyDescent="0.15">
      <c r="A13">
        <v>0.73153336995084872</v>
      </c>
      <c r="B13">
        <v>1</v>
      </c>
      <c r="C13">
        <v>0.10791990973598228</v>
      </c>
      <c r="D13">
        <v>6.7688480134511217E-2</v>
      </c>
      <c r="E13">
        <v>4.3644290943375276E-2</v>
      </c>
      <c r="F13">
        <v>0.76709284891739493</v>
      </c>
      <c r="G13">
        <v>1</v>
      </c>
      <c r="H13">
        <v>0.10634825902367515</v>
      </c>
      <c r="I13">
        <v>6.6385932465744396E-2</v>
      </c>
      <c r="J13">
        <v>4.2261455475331805E-2</v>
      </c>
      <c r="K13">
        <v>0.85161223623597926</v>
      </c>
      <c r="L13">
        <v>1</v>
      </c>
      <c r="M13">
        <v>0.11433222499975075</v>
      </c>
      <c r="N13">
        <v>6.5370359537684372E-2</v>
      </c>
      <c r="O13">
        <v>4.4608539001647934E-2</v>
      </c>
      <c r="P13">
        <v>0.58012813623152393</v>
      </c>
      <c r="Q13">
        <v>1</v>
      </c>
      <c r="R13">
        <v>8.5386410157735487E-2</v>
      </c>
      <c r="S13">
        <v>6.5797859463254352E-2</v>
      </c>
      <c r="T13">
        <v>4.1847890804866027E-2</v>
      </c>
      <c r="U13">
        <v>0.6235685433494067</v>
      </c>
      <c r="V13">
        <v>1</v>
      </c>
      <c r="W13">
        <v>9.1722081207995451E-2</v>
      </c>
      <c r="X13">
        <v>6.6026441601379104E-2</v>
      </c>
      <c r="Y13">
        <v>4.1627307940083132E-2</v>
      </c>
      <c r="Z13">
        <v>0.6414767145288971</v>
      </c>
      <c r="AA13">
        <v>1</v>
      </c>
      <c r="AB13">
        <v>0.1006736669636796</v>
      </c>
      <c r="AC13">
        <v>6.7537149658248988E-2</v>
      </c>
      <c r="AD13">
        <v>4.4142466761385911E-2</v>
      </c>
      <c r="AE13">
        <v>0.75942500129634793</v>
      </c>
      <c r="AF13">
        <v>1</v>
      </c>
      <c r="AG13">
        <v>0.11089680155430238</v>
      </c>
      <c r="AH13">
        <v>6.5731415969663975E-2</v>
      </c>
      <c r="AI13">
        <v>4.2959598538996606E-2</v>
      </c>
      <c r="AJ13">
        <v>0.68803047463155165</v>
      </c>
      <c r="AK13">
        <v>1</v>
      </c>
      <c r="AL13">
        <v>0.10585953475720875</v>
      </c>
      <c r="AM13">
        <v>6.8209170322172399E-2</v>
      </c>
      <c r="AN13">
        <v>4.4428312584801212E-2</v>
      </c>
      <c r="AO13">
        <v>0.68433245934824127</v>
      </c>
      <c r="AP13">
        <v>1</v>
      </c>
      <c r="AQ13">
        <v>0.10455761275616239</v>
      </c>
      <c r="AR13">
        <v>6.6522594438107985E-2</v>
      </c>
      <c r="AS13">
        <v>4.3552147616153294E-2</v>
      </c>
      <c r="AT13">
        <v>0.65286798178071004</v>
      </c>
      <c r="AU13">
        <v>1</v>
      </c>
      <c r="AV13">
        <v>9.9583640253236905E-2</v>
      </c>
      <c r="AW13">
        <v>6.6657241921075638E-2</v>
      </c>
      <c r="AX13">
        <v>4.3479926040164929E-2</v>
      </c>
      <c r="AY13">
        <v>0.74792279322839283</v>
      </c>
      <c r="AZ13">
        <v>1</v>
      </c>
      <c r="BA13">
        <v>0.10530133761375493</v>
      </c>
      <c r="BB13">
        <v>6.6151379325333992E-2</v>
      </c>
      <c r="BC13">
        <v>4.2274874318768974E-2</v>
      </c>
      <c r="BD13">
        <v>0.63965332880450121</v>
      </c>
      <c r="BE13">
        <v>1</v>
      </c>
      <c r="BF13">
        <v>9.4967737723694157E-2</v>
      </c>
      <c r="BG13">
        <v>6.3526145923556279E-2</v>
      </c>
      <c r="BH13">
        <v>4.063468884986416E-2</v>
      </c>
      <c r="BI13">
        <v>0.66057479806250041</v>
      </c>
      <c r="BJ13">
        <v>1</v>
      </c>
      <c r="BK13">
        <v>9.7262646613342871E-2</v>
      </c>
      <c r="BL13">
        <v>6.4056500833096414E-2</v>
      </c>
      <c r="BM13">
        <v>4.2076251838754013E-2</v>
      </c>
      <c r="BN13">
        <v>0.74777258073641784</v>
      </c>
      <c r="BO13">
        <v>1</v>
      </c>
      <c r="BP13">
        <v>0.10616071673293789</v>
      </c>
      <c r="BQ13">
        <v>6.5842513482254408E-2</v>
      </c>
      <c r="BR13">
        <v>4.2819570094679481E-2</v>
      </c>
    </row>
    <row r="14" spans="1:70" x14ac:dyDescent="0.15">
      <c r="A14">
        <v>0.73001997931662665</v>
      </c>
      <c r="B14">
        <v>1</v>
      </c>
      <c r="C14">
        <v>9.8559185062425281E-2</v>
      </c>
      <c r="D14">
        <v>6.6723910952282237E-2</v>
      </c>
      <c r="E14">
        <v>4.3587991103240561E-2</v>
      </c>
      <c r="F14">
        <v>0.75677531473844784</v>
      </c>
      <c r="G14">
        <v>1</v>
      </c>
      <c r="H14">
        <v>0.10776945721290887</v>
      </c>
      <c r="I14">
        <v>6.6801300480011247E-2</v>
      </c>
      <c r="J14">
        <v>4.2763184856006872E-2</v>
      </c>
      <c r="K14">
        <v>0.85193087747243434</v>
      </c>
      <c r="L14">
        <v>1</v>
      </c>
      <c r="M14">
        <v>0.10913249200386539</v>
      </c>
      <c r="N14">
        <v>6.4080215034143975E-2</v>
      </c>
      <c r="O14">
        <v>4.2900681185155345E-2</v>
      </c>
      <c r="P14">
        <v>0.59195341515588962</v>
      </c>
      <c r="Q14">
        <v>1</v>
      </c>
      <c r="R14">
        <v>8.5785961939091035E-2</v>
      </c>
      <c r="S14">
        <v>6.4301557741454282E-2</v>
      </c>
      <c r="T14">
        <v>4.2730346292777263E-2</v>
      </c>
      <c r="U14">
        <v>0.61580489165944285</v>
      </c>
      <c r="V14">
        <v>1</v>
      </c>
      <c r="W14">
        <v>9.0986373190330788E-2</v>
      </c>
      <c r="X14">
        <v>6.5141878330175679E-2</v>
      </c>
      <c r="Y14">
        <v>4.2583740479376679E-2</v>
      </c>
      <c r="Z14">
        <v>0.6469363825614175</v>
      </c>
      <c r="AA14">
        <v>1</v>
      </c>
      <c r="AB14">
        <v>0.10243244515961383</v>
      </c>
      <c r="AC14">
        <v>6.7956643280091669E-2</v>
      </c>
      <c r="AD14">
        <v>4.4431493055836067E-2</v>
      </c>
      <c r="AE14">
        <v>0.7570871492718807</v>
      </c>
      <c r="AF14">
        <v>1</v>
      </c>
      <c r="AG14">
        <v>0.10721720200794557</v>
      </c>
      <c r="AH14">
        <v>6.903457088558064E-2</v>
      </c>
      <c r="AI14">
        <v>4.2959374579798169E-2</v>
      </c>
      <c r="AJ14">
        <v>0.69007730246123145</v>
      </c>
      <c r="AK14">
        <v>1</v>
      </c>
      <c r="AL14">
        <v>9.7503409916783468E-2</v>
      </c>
      <c r="AM14">
        <v>6.8777939777271951E-2</v>
      </c>
      <c r="AN14">
        <v>4.5151839825107933E-2</v>
      </c>
      <c r="AO14">
        <v>0.68316995902403876</v>
      </c>
      <c r="AP14">
        <v>1</v>
      </c>
      <c r="AQ14">
        <v>9.9345995388265274E-2</v>
      </c>
      <c r="AR14">
        <v>6.6907448551631138E-2</v>
      </c>
      <c r="AS14">
        <v>4.4306759581651041E-2</v>
      </c>
      <c r="AT14">
        <v>0.65564199281872249</v>
      </c>
      <c r="AU14">
        <v>1</v>
      </c>
      <c r="AV14">
        <v>9.9272428206927818E-2</v>
      </c>
      <c r="AW14">
        <v>6.7214243300164789E-2</v>
      </c>
      <c r="AX14">
        <v>4.3580547325861585E-2</v>
      </c>
      <c r="AY14">
        <v>0.76492560433041723</v>
      </c>
      <c r="AZ14">
        <v>1</v>
      </c>
      <c r="BA14">
        <v>0.10817963420759423</v>
      </c>
      <c r="BB14">
        <v>6.5612894213469969E-2</v>
      </c>
      <c r="BC14">
        <v>4.237317347084367E-2</v>
      </c>
      <c r="BD14">
        <v>0.65040882825176416</v>
      </c>
      <c r="BE14">
        <v>1</v>
      </c>
      <c r="BF14">
        <v>9.2155746644545164E-2</v>
      </c>
      <c r="BG14">
        <v>6.2339034071668346E-2</v>
      </c>
      <c r="BH14">
        <v>4.02954824876244E-2</v>
      </c>
      <c r="BI14">
        <v>0.65915469773802449</v>
      </c>
      <c r="BJ14">
        <v>1</v>
      </c>
      <c r="BK14">
        <v>9.5143079559322552E-2</v>
      </c>
      <c r="BL14">
        <v>6.5057873845542499E-2</v>
      </c>
      <c r="BM14">
        <v>4.1060294524747305E-2</v>
      </c>
      <c r="BN14">
        <v>0.75509003636094463</v>
      </c>
      <c r="BO14">
        <v>1</v>
      </c>
      <c r="BP14">
        <v>0.10471733309144404</v>
      </c>
      <c r="BQ14">
        <v>6.5356356431892207E-2</v>
      </c>
      <c r="BR14">
        <v>4.1991951352491806E-2</v>
      </c>
    </row>
    <row r="15" spans="1:70" x14ac:dyDescent="0.15">
      <c r="A15">
        <v>0.75972450678954195</v>
      </c>
      <c r="B15">
        <v>1</v>
      </c>
      <c r="C15">
        <v>0.10620787012901763</v>
      </c>
      <c r="D15">
        <v>6.7217298035883291E-2</v>
      </c>
      <c r="E15">
        <v>4.4303697381412765E-2</v>
      </c>
      <c r="F15">
        <v>0.76007006890282558</v>
      </c>
      <c r="G15">
        <v>1</v>
      </c>
      <c r="H15">
        <v>9.9422690540705336E-2</v>
      </c>
      <c r="I15">
        <v>6.651074007950343E-2</v>
      </c>
      <c r="J15">
        <v>4.2516464484898729E-2</v>
      </c>
      <c r="K15">
        <v>0.85684946755183156</v>
      </c>
      <c r="L15">
        <v>1</v>
      </c>
      <c r="M15">
        <v>0.10816119501794237</v>
      </c>
      <c r="N15">
        <v>6.5815379019535325E-2</v>
      </c>
      <c r="O15">
        <v>4.4276907321423038E-2</v>
      </c>
      <c r="P15">
        <v>0.59309505135637808</v>
      </c>
      <c r="Q15">
        <v>1</v>
      </c>
      <c r="R15">
        <v>8.4982466468582069E-2</v>
      </c>
      <c r="S15">
        <v>6.5726770647773741E-2</v>
      </c>
      <c r="T15">
        <v>4.0863914073444772E-2</v>
      </c>
      <c r="U15">
        <v>0.61608093883794035</v>
      </c>
      <c r="V15">
        <v>1</v>
      </c>
      <c r="W15">
        <v>9.0416064565408211E-2</v>
      </c>
      <c r="X15">
        <v>6.5061666053261552E-2</v>
      </c>
      <c r="Y15">
        <v>4.1991875752966527E-2</v>
      </c>
      <c r="Z15">
        <v>0.63289701745378335</v>
      </c>
      <c r="AA15">
        <v>1</v>
      </c>
      <c r="AB15">
        <v>9.7330598485536171E-2</v>
      </c>
      <c r="AC15">
        <v>6.7877260083935659E-2</v>
      </c>
      <c r="AD15">
        <v>4.3881007326339795E-2</v>
      </c>
      <c r="AE15">
        <v>0.7797029874087229</v>
      </c>
      <c r="AF15">
        <v>1</v>
      </c>
      <c r="AG15">
        <v>0.10264948505890946</v>
      </c>
      <c r="AH15">
        <v>6.7154282914403021E-2</v>
      </c>
      <c r="AI15">
        <v>4.4495420647920864E-2</v>
      </c>
      <c r="AJ15">
        <v>0.70015211954808498</v>
      </c>
      <c r="AK15">
        <v>1</v>
      </c>
      <c r="AL15">
        <v>0.10179434704647813</v>
      </c>
      <c r="AM15">
        <v>6.88674105687066E-2</v>
      </c>
      <c r="AN15">
        <v>4.5057445519269858E-2</v>
      </c>
      <c r="AO15">
        <v>0.67791388276903419</v>
      </c>
      <c r="AP15">
        <v>1</v>
      </c>
      <c r="AQ15">
        <v>0.10205428113294719</v>
      </c>
      <c r="AR15">
        <v>6.7295378860812327E-2</v>
      </c>
      <c r="AS15">
        <v>4.4444518425680722E-2</v>
      </c>
      <c r="AT15">
        <v>0.65141279627724746</v>
      </c>
      <c r="AU15">
        <v>1</v>
      </c>
      <c r="AV15">
        <v>0.10233886979909512</v>
      </c>
      <c r="AW15">
        <v>6.6087726359823337E-2</v>
      </c>
      <c r="AX15">
        <v>4.1853683304696493E-2</v>
      </c>
      <c r="AY15">
        <v>0.75275283264290116</v>
      </c>
      <c r="AZ15">
        <v>1</v>
      </c>
      <c r="BA15">
        <v>0.10959759874144291</v>
      </c>
      <c r="BB15">
        <v>6.5236607216107495E-2</v>
      </c>
      <c r="BC15">
        <v>4.309593356029514E-2</v>
      </c>
      <c r="BD15">
        <v>0.65179683225382046</v>
      </c>
      <c r="BE15">
        <v>1</v>
      </c>
      <c r="BF15">
        <v>9.5625374512012112E-2</v>
      </c>
      <c r="BG15">
        <v>6.4114278319718832E-2</v>
      </c>
      <c r="BH15">
        <v>4.0807808186205545E-2</v>
      </c>
      <c r="BI15">
        <v>0.65764048138170961</v>
      </c>
      <c r="BJ15">
        <v>1</v>
      </c>
      <c r="BK15">
        <v>9.1261561110371453E-2</v>
      </c>
      <c r="BL15">
        <v>6.4827923003575053E-2</v>
      </c>
      <c r="BM15">
        <v>4.1546576645918931E-2</v>
      </c>
      <c r="BN15">
        <v>0.74776935718149162</v>
      </c>
      <c r="BO15">
        <v>1</v>
      </c>
      <c r="BP15">
        <v>0.10046208622838049</v>
      </c>
      <c r="BQ15">
        <v>6.4334990181296209E-2</v>
      </c>
      <c r="BR15">
        <v>4.2067989220198561E-2</v>
      </c>
    </row>
    <row r="16" spans="1:70" x14ac:dyDescent="0.15">
      <c r="A16">
        <v>0.74350010225826035</v>
      </c>
      <c r="B16">
        <v>1</v>
      </c>
      <c r="C16">
        <v>0.11251777499242947</v>
      </c>
      <c r="D16">
        <v>6.7178711616656034E-2</v>
      </c>
      <c r="E16">
        <v>4.4165260596562166E-2</v>
      </c>
      <c r="F16">
        <v>0.75287166922708182</v>
      </c>
      <c r="G16">
        <v>1</v>
      </c>
      <c r="H16">
        <v>0.10434327681938511</v>
      </c>
      <c r="I16">
        <v>6.6280417879434783E-2</v>
      </c>
      <c r="J16">
        <v>4.2345898841448647E-2</v>
      </c>
      <c r="K16">
        <v>0.86939399639773263</v>
      </c>
      <c r="L16">
        <v>1</v>
      </c>
      <c r="M16">
        <v>0.11213205740449092</v>
      </c>
      <c r="N16">
        <v>6.3898006758507445E-2</v>
      </c>
      <c r="O16">
        <v>4.3724695327049028E-2</v>
      </c>
      <c r="P16">
        <v>0.58985631706053121</v>
      </c>
      <c r="Q16">
        <v>1</v>
      </c>
      <c r="R16">
        <v>8.3518667075185266E-2</v>
      </c>
      <c r="S16">
        <v>6.5311584452024285E-2</v>
      </c>
      <c r="T16">
        <v>4.1328409266109527E-2</v>
      </c>
      <c r="U16">
        <v>0.62477020329251642</v>
      </c>
      <c r="V16">
        <v>1</v>
      </c>
      <c r="W16">
        <v>9.240943335375032E-2</v>
      </c>
      <c r="X16">
        <v>6.5697057721195287E-2</v>
      </c>
      <c r="Y16">
        <v>4.185833949210941E-2</v>
      </c>
      <c r="Z16">
        <v>0.65284856619001996</v>
      </c>
      <c r="AA16">
        <v>1</v>
      </c>
      <c r="AB16">
        <v>9.4018070555156874E-2</v>
      </c>
      <c r="AC16">
        <v>6.7899626565926241E-2</v>
      </c>
      <c r="AD16">
        <v>4.3761291989565979E-2</v>
      </c>
      <c r="AE16">
        <v>0.77401618389622684</v>
      </c>
      <c r="AF16">
        <v>1</v>
      </c>
      <c r="AG16">
        <v>0.10580045683531664</v>
      </c>
      <c r="AH16">
        <v>6.7773217550986156E-2</v>
      </c>
      <c r="AI16">
        <v>4.3497111538424789E-2</v>
      </c>
      <c r="AJ16">
        <v>0.69373197559814592</v>
      </c>
      <c r="AK16">
        <v>1</v>
      </c>
      <c r="AL16">
        <v>0.10311291763401342</v>
      </c>
      <c r="AM16">
        <v>6.8490730237952033E-2</v>
      </c>
      <c r="AN16">
        <v>4.3936162600919898E-2</v>
      </c>
      <c r="AO16">
        <v>0.68743981193286763</v>
      </c>
      <c r="AP16">
        <v>1</v>
      </c>
      <c r="AQ16">
        <v>9.9614852111287761E-2</v>
      </c>
      <c r="AR16">
        <v>6.7770525608030749E-2</v>
      </c>
      <c r="AS16">
        <v>4.3927804497390449E-2</v>
      </c>
      <c r="AT16">
        <v>0.65587726220354248</v>
      </c>
      <c r="AU16">
        <v>1</v>
      </c>
      <c r="AV16">
        <v>9.6910890258896584E-2</v>
      </c>
      <c r="AW16">
        <v>6.784484677002757E-2</v>
      </c>
      <c r="AX16">
        <v>4.3268365445760203E-2</v>
      </c>
      <c r="AY16">
        <v>0.76266520992361031</v>
      </c>
      <c r="AZ16">
        <v>1</v>
      </c>
      <c r="BA16">
        <v>0.10267404843816069</v>
      </c>
      <c r="BB16">
        <v>6.4193524681250225E-2</v>
      </c>
      <c r="BC16">
        <v>4.2480470750179751E-2</v>
      </c>
      <c r="BD16">
        <v>0.66856380624278822</v>
      </c>
      <c r="BE16">
        <v>1</v>
      </c>
      <c r="BF16">
        <v>9.263069609697358E-2</v>
      </c>
      <c r="BG16">
        <v>6.1987433759951888E-2</v>
      </c>
      <c r="BH16">
        <v>4.1196711191877164E-2</v>
      </c>
      <c r="BI16">
        <v>0.67502858453011871</v>
      </c>
      <c r="BJ16">
        <v>1</v>
      </c>
      <c r="BK16">
        <v>9.3953214950886849E-2</v>
      </c>
      <c r="BL16">
        <v>6.2419619962612395E-2</v>
      </c>
      <c r="BM16">
        <v>4.128960209854543E-2</v>
      </c>
      <c r="BN16">
        <v>0.75537732898069665</v>
      </c>
      <c r="BO16">
        <v>1</v>
      </c>
      <c r="BP16">
        <v>0.10756702861812265</v>
      </c>
      <c r="BQ16">
        <v>6.5544486417971906E-2</v>
      </c>
      <c r="BR16">
        <v>4.3242588073394601E-2</v>
      </c>
    </row>
    <row r="17" spans="1:70" x14ac:dyDescent="0.15">
      <c r="A17">
        <v>0.74181155455816161</v>
      </c>
      <c r="B17">
        <v>1</v>
      </c>
      <c r="C17">
        <v>0.10438670201388248</v>
      </c>
      <c r="D17">
        <v>6.7544438403792609E-2</v>
      </c>
      <c r="E17">
        <v>4.3104949382889141E-2</v>
      </c>
      <c r="F17">
        <v>0.7760225985504251</v>
      </c>
      <c r="G17">
        <v>1</v>
      </c>
      <c r="H17">
        <v>0.10703801568889723</v>
      </c>
      <c r="I17">
        <v>6.6972269605290735E-2</v>
      </c>
      <c r="J17">
        <v>4.254555127974622E-2</v>
      </c>
      <c r="K17">
        <v>0.85397159637602271</v>
      </c>
      <c r="L17">
        <v>1</v>
      </c>
      <c r="M17">
        <v>0.11558267465637266</v>
      </c>
      <c r="N17">
        <v>6.654790531927586E-2</v>
      </c>
      <c r="O17">
        <v>4.4575695738441973E-2</v>
      </c>
      <c r="P17">
        <v>0.58370844488158002</v>
      </c>
      <c r="Q17">
        <v>1</v>
      </c>
      <c r="R17">
        <v>8.3859308933024942E-2</v>
      </c>
      <c r="S17">
        <v>6.533307976623022E-2</v>
      </c>
      <c r="T17">
        <v>4.1587709810909569E-2</v>
      </c>
      <c r="U17">
        <v>0.61337359304486594</v>
      </c>
      <c r="V17">
        <v>1</v>
      </c>
      <c r="W17">
        <v>8.8046470547847075E-2</v>
      </c>
      <c r="X17">
        <v>6.6253692493252053E-2</v>
      </c>
      <c r="Y17">
        <v>4.1228598545596462E-2</v>
      </c>
      <c r="Z17">
        <v>0.64340557141364452</v>
      </c>
      <c r="AA17">
        <v>1</v>
      </c>
      <c r="AB17">
        <v>9.7655801762245739E-2</v>
      </c>
      <c r="AC17">
        <v>6.7623573176853399E-2</v>
      </c>
      <c r="AD17">
        <v>4.4132560976224339E-2</v>
      </c>
      <c r="AE17">
        <v>0.75023338504685577</v>
      </c>
      <c r="AF17">
        <v>1</v>
      </c>
      <c r="AG17">
        <v>0.10934328362198292</v>
      </c>
      <c r="AH17">
        <v>6.8462559415165908E-2</v>
      </c>
      <c r="AI17">
        <v>4.4476791319490214E-2</v>
      </c>
      <c r="AJ17">
        <v>0.71195948668190989</v>
      </c>
      <c r="AK17">
        <v>1</v>
      </c>
      <c r="AL17">
        <v>9.8061642034467392E-2</v>
      </c>
      <c r="AM17">
        <v>6.731695024219142E-2</v>
      </c>
      <c r="AN17">
        <v>4.4723250717114388E-2</v>
      </c>
      <c r="AO17">
        <v>0.67416100356487607</v>
      </c>
      <c r="AP17">
        <v>1</v>
      </c>
      <c r="AQ17">
        <v>9.8062738717113032E-2</v>
      </c>
      <c r="AR17">
        <v>6.6115934742548094E-2</v>
      </c>
      <c r="AS17">
        <v>4.3145316809500615E-2</v>
      </c>
      <c r="AT17">
        <v>0.65733781004405967</v>
      </c>
      <c r="AU17">
        <v>1</v>
      </c>
      <c r="AV17">
        <v>9.4196857380804785E-2</v>
      </c>
      <c r="AW17">
        <v>6.5223955558722124E-2</v>
      </c>
      <c r="AX17">
        <v>4.3436950937500614E-2</v>
      </c>
      <c r="AY17">
        <v>0.75395003084780932</v>
      </c>
      <c r="AZ17">
        <v>1</v>
      </c>
      <c r="BA17">
        <v>0.10620304531831382</v>
      </c>
      <c r="BB17">
        <v>6.524753785589664E-2</v>
      </c>
      <c r="BC17">
        <v>4.262311183988083E-2</v>
      </c>
      <c r="BD17">
        <v>0.65173815478538299</v>
      </c>
      <c r="BE17">
        <v>1</v>
      </c>
      <c r="BF17">
        <v>9.8066999887413492E-2</v>
      </c>
      <c r="BG17">
        <v>6.3163127873730934E-2</v>
      </c>
      <c r="BH17">
        <v>4.047100850357338E-2</v>
      </c>
      <c r="BI17">
        <v>0.67267676653645847</v>
      </c>
      <c r="BJ17">
        <v>1</v>
      </c>
      <c r="BK17">
        <v>9.658763542079965E-2</v>
      </c>
      <c r="BL17">
        <v>6.3426502513409519E-2</v>
      </c>
      <c r="BM17">
        <v>4.2135837879573285E-2</v>
      </c>
      <c r="BN17">
        <v>0.75014721451091215</v>
      </c>
      <c r="BO17">
        <v>1</v>
      </c>
      <c r="BP17">
        <v>0.10402086303482429</v>
      </c>
      <c r="BQ17">
        <v>6.4516626580299344E-2</v>
      </c>
      <c r="BR17">
        <v>4.2432774427469629E-2</v>
      </c>
    </row>
    <row r="18" spans="1:70" x14ac:dyDescent="0.15">
      <c r="A18">
        <v>0.73627773867539414</v>
      </c>
      <c r="B18">
        <v>1</v>
      </c>
      <c r="C18">
        <v>0.10409591592799206</v>
      </c>
      <c r="D18">
        <v>6.8724918930329976E-2</v>
      </c>
      <c r="E18">
        <v>4.3647050632056657E-2</v>
      </c>
      <c r="F18">
        <v>0.75610604450418828</v>
      </c>
      <c r="G18">
        <v>1</v>
      </c>
      <c r="H18">
        <v>0.10377434506295014</v>
      </c>
      <c r="I18">
        <v>6.6912816755833909E-2</v>
      </c>
      <c r="J18">
        <v>4.2889444127630016E-2</v>
      </c>
      <c r="K18">
        <v>0.84875510779152363</v>
      </c>
      <c r="L18">
        <v>1</v>
      </c>
      <c r="M18">
        <v>0.1093656348163406</v>
      </c>
      <c r="N18">
        <v>6.5486920251097092E-2</v>
      </c>
      <c r="O18">
        <v>4.4149421593545027E-2</v>
      </c>
      <c r="P18">
        <v>0.59143918520969452</v>
      </c>
      <c r="Q18">
        <v>1</v>
      </c>
      <c r="R18">
        <v>8.6090166501270868E-2</v>
      </c>
      <c r="S18">
        <v>6.5302536407552847E-2</v>
      </c>
      <c r="T18">
        <v>4.25659435162501E-2</v>
      </c>
      <c r="U18">
        <v>0.61273963522202479</v>
      </c>
      <c r="V18">
        <v>1</v>
      </c>
      <c r="W18">
        <v>9.0143807483429803E-2</v>
      </c>
      <c r="X18">
        <v>6.6130965447676798E-2</v>
      </c>
      <c r="Y18">
        <v>4.0900945523567316E-2</v>
      </c>
      <c r="Z18">
        <v>0.64309908775477898</v>
      </c>
      <c r="AA18">
        <v>1</v>
      </c>
      <c r="AB18">
        <v>9.9450437780465042E-2</v>
      </c>
      <c r="AC18">
        <v>6.8394917043600192E-2</v>
      </c>
      <c r="AD18">
        <v>4.5623291466063975E-2</v>
      </c>
      <c r="AE18">
        <v>0.7556055483723324</v>
      </c>
      <c r="AF18">
        <v>1</v>
      </c>
      <c r="AG18">
        <v>0.10326890161825399</v>
      </c>
      <c r="AH18">
        <v>6.6901197054392278E-2</v>
      </c>
      <c r="AI18">
        <v>4.329025596183516E-2</v>
      </c>
      <c r="AJ18">
        <v>0.69781758939298932</v>
      </c>
      <c r="AK18">
        <v>1</v>
      </c>
      <c r="AL18">
        <v>9.9026731942076202E-2</v>
      </c>
      <c r="AM18">
        <v>6.9232903497473589E-2</v>
      </c>
      <c r="AN18">
        <v>4.4289945979663868E-2</v>
      </c>
      <c r="AO18">
        <v>0.6851522840233345</v>
      </c>
      <c r="AP18">
        <v>1</v>
      </c>
      <c r="AQ18">
        <v>0.10164695846607265</v>
      </c>
      <c r="AR18">
        <v>6.8609490496696096E-2</v>
      </c>
      <c r="AS18">
        <v>4.3895862255987024E-2</v>
      </c>
      <c r="AT18">
        <v>0.66205150537723911</v>
      </c>
      <c r="AU18">
        <v>1</v>
      </c>
      <c r="AV18">
        <v>9.7938675302106953E-2</v>
      </c>
      <c r="AW18">
        <v>6.799736591688138E-2</v>
      </c>
      <c r="AX18">
        <v>4.2624844472391836E-2</v>
      </c>
      <c r="AY18">
        <v>0.75176432426194351</v>
      </c>
      <c r="AZ18">
        <v>1</v>
      </c>
      <c r="BA18">
        <v>0.10802284125540235</v>
      </c>
      <c r="BB18">
        <v>6.619342115748654E-2</v>
      </c>
      <c r="BC18">
        <v>4.2942108876730146E-2</v>
      </c>
      <c r="BD18">
        <v>0.65231852821651481</v>
      </c>
      <c r="BE18">
        <v>1</v>
      </c>
      <c r="BF18">
        <v>9.0948937323414483E-2</v>
      </c>
      <c r="BG18">
        <v>6.3471532658134738E-2</v>
      </c>
      <c r="BH18">
        <v>4.1389318455559258E-2</v>
      </c>
      <c r="BI18">
        <v>0.67038447239958898</v>
      </c>
      <c r="BJ18">
        <v>1</v>
      </c>
      <c r="BK18">
        <v>9.4776942687517449E-2</v>
      </c>
      <c r="BL18">
        <v>6.4862855804638964E-2</v>
      </c>
      <c r="BM18">
        <v>4.1444195577936313E-2</v>
      </c>
      <c r="BN18">
        <v>0.75839936638475702</v>
      </c>
      <c r="BO18">
        <v>1</v>
      </c>
      <c r="BP18">
        <v>0.10631476228621135</v>
      </c>
      <c r="BQ18">
        <v>6.62779338466635E-2</v>
      </c>
      <c r="BR18">
        <v>4.3030746873159276E-2</v>
      </c>
    </row>
    <row r="19" spans="1:70" x14ac:dyDescent="0.15">
      <c r="A19">
        <v>0.73419321976907592</v>
      </c>
      <c r="B19">
        <v>1</v>
      </c>
      <c r="C19">
        <v>0.10124348701077025</v>
      </c>
      <c r="D19">
        <v>6.8902745976624089E-2</v>
      </c>
      <c r="E19">
        <v>4.3269371783568392E-2</v>
      </c>
      <c r="F19">
        <v>0.75869311563309749</v>
      </c>
      <c r="G19">
        <v>1</v>
      </c>
      <c r="H19">
        <v>0.10351919738310017</v>
      </c>
      <c r="I19">
        <v>6.591849448476407E-2</v>
      </c>
      <c r="J19">
        <v>4.2626762332331605E-2</v>
      </c>
      <c r="K19">
        <v>0.87675496142782527</v>
      </c>
      <c r="L19">
        <v>1</v>
      </c>
      <c r="M19">
        <v>0.1113822507772512</v>
      </c>
      <c r="N19">
        <v>6.6364716214124833E-2</v>
      </c>
      <c r="O19">
        <v>4.4365692931894372E-2</v>
      </c>
      <c r="P19">
        <v>0.58742033460935661</v>
      </c>
      <c r="Q19">
        <v>1</v>
      </c>
      <c r="R19">
        <v>8.3619702192986395E-2</v>
      </c>
      <c r="S19">
        <v>6.5489526432332856E-2</v>
      </c>
      <c r="T19">
        <v>4.0505527709517063E-2</v>
      </c>
      <c r="U19">
        <v>0.61305463283283845</v>
      </c>
      <c r="V19">
        <v>1</v>
      </c>
      <c r="W19">
        <v>8.4233997740859434E-2</v>
      </c>
      <c r="X19">
        <v>6.3497152149375111E-2</v>
      </c>
      <c r="Y19">
        <v>4.2357692399845749E-2</v>
      </c>
      <c r="Z19">
        <v>0.64315173128902348</v>
      </c>
      <c r="AA19">
        <v>1</v>
      </c>
      <c r="AB19">
        <v>0.10163796451650191</v>
      </c>
      <c r="AC19">
        <v>6.717065591294126E-2</v>
      </c>
      <c r="AD19">
        <v>4.3580369453490961E-2</v>
      </c>
      <c r="AE19">
        <v>0.75936518113449025</v>
      </c>
      <c r="AF19">
        <v>1</v>
      </c>
      <c r="AG19">
        <v>0.10335954904149183</v>
      </c>
      <c r="AH19">
        <v>6.7449065680819015E-2</v>
      </c>
      <c r="AI19">
        <v>4.4409848254202341E-2</v>
      </c>
      <c r="AJ19">
        <v>0.70650994672492085</v>
      </c>
      <c r="AK19">
        <v>1</v>
      </c>
      <c r="AL19">
        <v>9.8848361986351677E-2</v>
      </c>
      <c r="AM19">
        <v>6.7225617074975305E-2</v>
      </c>
      <c r="AN19">
        <v>4.3373721294611874E-2</v>
      </c>
      <c r="AO19">
        <v>0.68765387875145212</v>
      </c>
      <c r="AP19">
        <v>1</v>
      </c>
      <c r="AQ19">
        <v>0.10191448660592702</v>
      </c>
      <c r="AR19">
        <v>6.6575967836930011E-2</v>
      </c>
      <c r="AS19">
        <v>4.3436481787195932E-2</v>
      </c>
      <c r="AT19">
        <v>0.66667762233839845</v>
      </c>
      <c r="AU19">
        <v>1</v>
      </c>
      <c r="AV19">
        <v>9.7295929084276242E-2</v>
      </c>
      <c r="AW19">
        <v>6.5373701785112301E-2</v>
      </c>
      <c r="AX19">
        <v>4.3910275733650202E-2</v>
      </c>
      <c r="AY19">
        <v>0.76414312383862759</v>
      </c>
      <c r="AZ19">
        <v>1</v>
      </c>
      <c r="BA19">
        <v>0.10801838124560725</v>
      </c>
      <c r="BB19">
        <v>6.6630281228446206E-2</v>
      </c>
      <c r="BC19">
        <v>4.2416620094120346E-2</v>
      </c>
      <c r="BD19">
        <v>0.65084004191435119</v>
      </c>
      <c r="BE19">
        <v>1</v>
      </c>
      <c r="BF19">
        <v>9.7092250206819872E-2</v>
      </c>
      <c r="BG19">
        <v>6.3938768829453291E-2</v>
      </c>
      <c r="BH19">
        <v>4.0262289949581934E-2</v>
      </c>
      <c r="BI19">
        <v>0.6751830255270308</v>
      </c>
      <c r="BJ19">
        <v>1</v>
      </c>
      <c r="BK19">
        <v>9.6307217146630181E-2</v>
      </c>
      <c r="BL19">
        <v>6.5376943553455247E-2</v>
      </c>
      <c r="BM19">
        <v>4.2230705816369049E-2</v>
      </c>
      <c r="BN19">
        <v>0.74849318120221797</v>
      </c>
      <c r="BO19">
        <v>1</v>
      </c>
      <c r="BP19">
        <v>0.1058119731920088</v>
      </c>
      <c r="BQ19">
        <v>6.5569263176594061E-2</v>
      </c>
      <c r="BR19">
        <v>4.2947400460652083E-2</v>
      </c>
    </row>
    <row r="20" spans="1:70" x14ac:dyDescent="0.15">
      <c r="A20">
        <v>0.7459339486140607</v>
      </c>
      <c r="B20">
        <v>1</v>
      </c>
      <c r="C20">
        <v>0.10349697163579925</v>
      </c>
      <c r="D20">
        <v>6.6439559465247336E-2</v>
      </c>
      <c r="E20">
        <v>4.3244806089009047E-2</v>
      </c>
      <c r="F20">
        <v>0.78058407250984974</v>
      </c>
      <c r="G20">
        <v>1</v>
      </c>
      <c r="H20">
        <v>0.10789615231296971</v>
      </c>
      <c r="I20">
        <v>6.7087781879766176E-2</v>
      </c>
      <c r="J20">
        <v>4.4108201617393296E-2</v>
      </c>
      <c r="K20">
        <v>0.85843553438081366</v>
      </c>
      <c r="L20">
        <v>1</v>
      </c>
      <c r="M20">
        <v>0.11083193347180297</v>
      </c>
      <c r="N20">
        <v>6.6078256102053659E-2</v>
      </c>
      <c r="O20">
        <v>4.4314002279601916E-2</v>
      </c>
      <c r="P20">
        <v>0.59056909682236136</v>
      </c>
      <c r="Q20">
        <v>1</v>
      </c>
      <c r="R20">
        <v>8.4500617321632665E-2</v>
      </c>
      <c r="S20">
        <v>6.3931901159129556E-2</v>
      </c>
      <c r="T20">
        <v>4.1824633749178865E-2</v>
      </c>
      <c r="U20">
        <v>0.62933264348126761</v>
      </c>
      <c r="V20">
        <v>1</v>
      </c>
      <c r="W20">
        <v>9.2572947715447759E-2</v>
      </c>
      <c r="X20">
        <v>6.4424716324243306E-2</v>
      </c>
      <c r="Y20">
        <v>4.2578271550768911E-2</v>
      </c>
      <c r="Z20">
        <v>0.63629633473239922</v>
      </c>
      <c r="AA20">
        <v>1</v>
      </c>
      <c r="AB20">
        <v>0.10200250513924383</v>
      </c>
      <c r="AC20">
        <v>6.7985739037817433E-2</v>
      </c>
      <c r="AD20">
        <v>4.3413353057379402E-2</v>
      </c>
      <c r="AE20">
        <v>0.77339454742215563</v>
      </c>
      <c r="AF20">
        <v>1</v>
      </c>
      <c r="AG20">
        <v>0.107915758982568</v>
      </c>
      <c r="AH20">
        <v>6.8226455933525137E-2</v>
      </c>
      <c r="AI20">
        <v>4.3803108562735671E-2</v>
      </c>
      <c r="AJ20">
        <v>0.7080943130662638</v>
      </c>
      <c r="AK20">
        <v>1</v>
      </c>
      <c r="AL20">
        <v>9.6896077183795476E-2</v>
      </c>
      <c r="AM20">
        <v>6.8411057865081379E-2</v>
      </c>
      <c r="AN20">
        <v>4.4240014641927512E-2</v>
      </c>
      <c r="AO20">
        <v>0.67550491292016179</v>
      </c>
      <c r="AP20">
        <v>1</v>
      </c>
      <c r="AQ20">
        <v>0.10390625033625094</v>
      </c>
      <c r="AR20">
        <v>6.7328809041726861E-2</v>
      </c>
      <c r="AS20">
        <v>4.3830515829002402E-2</v>
      </c>
      <c r="AT20">
        <v>0.65205888511197618</v>
      </c>
      <c r="AU20">
        <v>1</v>
      </c>
      <c r="AV20">
        <v>0.10313521310858079</v>
      </c>
      <c r="AW20">
        <v>6.6029263435253949E-2</v>
      </c>
      <c r="AX20">
        <v>4.4152029666157687E-2</v>
      </c>
      <c r="AY20">
        <v>0.77672446473787882</v>
      </c>
      <c r="AZ20">
        <v>1</v>
      </c>
      <c r="BA20">
        <v>0.1100046232137991</v>
      </c>
      <c r="BB20">
        <v>6.6934289995143448E-2</v>
      </c>
      <c r="BC20">
        <v>4.1957151085201087E-2</v>
      </c>
      <c r="BD20">
        <v>0.64566557424518134</v>
      </c>
      <c r="BE20">
        <v>1</v>
      </c>
      <c r="BF20">
        <v>9.8191437742239096E-2</v>
      </c>
      <c r="BG20">
        <v>6.3877590658876882E-2</v>
      </c>
      <c r="BH20">
        <v>4.0401098772739015E-2</v>
      </c>
      <c r="BI20">
        <v>0.67669343912145918</v>
      </c>
      <c r="BJ20">
        <v>1</v>
      </c>
      <c r="BK20">
        <v>9.3861711257573713E-2</v>
      </c>
      <c r="BL20">
        <v>6.4669874534952917E-2</v>
      </c>
      <c r="BM20">
        <v>4.15470297122928E-2</v>
      </c>
      <c r="BN20">
        <v>0.75543138115571062</v>
      </c>
      <c r="BO20">
        <v>1</v>
      </c>
      <c r="BP20">
        <v>0.10342635222367894</v>
      </c>
      <c r="BQ20">
        <v>6.6285037146110198E-2</v>
      </c>
      <c r="BR20">
        <v>4.3210692542579372E-2</v>
      </c>
    </row>
    <row r="21" spans="1:70" x14ac:dyDescent="0.15">
      <c r="A21">
        <v>0.7556528557387534</v>
      </c>
      <c r="B21">
        <v>1</v>
      </c>
      <c r="C21">
        <v>0.10532281237630606</v>
      </c>
      <c r="D21">
        <v>6.8311833325485252E-2</v>
      </c>
      <c r="E21">
        <v>4.380118588381457E-2</v>
      </c>
      <c r="F21">
        <v>0.76977186729854097</v>
      </c>
      <c r="G21">
        <v>1</v>
      </c>
      <c r="H21">
        <v>0.10455031194591785</v>
      </c>
      <c r="I21">
        <v>6.7316095653435229E-2</v>
      </c>
      <c r="J21">
        <v>4.3211458349009774E-2</v>
      </c>
      <c r="K21">
        <v>0.84817515793437959</v>
      </c>
      <c r="L21">
        <v>1</v>
      </c>
      <c r="M21">
        <v>0.11555151611272119</v>
      </c>
      <c r="N21">
        <v>6.5549831573358211E-2</v>
      </c>
      <c r="O21">
        <v>4.4236329690118655E-2</v>
      </c>
      <c r="P21">
        <v>0.58922825752320984</v>
      </c>
      <c r="Q21">
        <v>1</v>
      </c>
      <c r="R21">
        <v>8.4496821357050292E-2</v>
      </c>
      <c r="S21">
        <v>6.5838503270707366E-2</v>
      </c>
      <c r="T21">
        <v>4.1496179847279664E-2</v>
      </c>
      <c r="U21">
        <v>0.62229658338755089</v>
      </c>
      <c r="V21">
        <v>1</v>
      </c>
      <c r="W21">
        <v>9.8030229108238734E-2</v>
      </c>
      <c r="X21">
        <v>6.4492651307976573E-2</v>
      </c>
      <c r="Y21">
        <v>4.2789559661627452E-2</v>
      </c>
      <c r="Z21">
        <v>0.64524961761284461</v>
      </c>
      <c r="AA21">
        <v>1</v>
      </c>
      <c r="AB21">
        <v>9.8210365789100626E-2</v>
      </c>
      <c r="AC21">
        <v>6.7403012123109299E-2</v>
      </c>
      <c r="AD21">
        <v>4.3740241140107522E-2</v>
      </c>
      <c r="AE21">
        <v>0.76545344834453799</v>
      </c>
      <c r="AF21">
        <v>1</v>
      </c>
      <c r="AG21">
        <v>0.10361499895418917</v>
      </c>
      <c r="AH21">
        <v>6.6838938934698083E-2</v>
      </c>
      <c r="AI21">
        <v>4.3441138457213153E-2</v>
      </c>
      <c r="AJ21">
        <v>0.70595794117471677</v>
      </c>
      <c r="AK21">
        <v>1</v>
      </c>
      <c r="AL21">
        <v>0.10421943536661023</v>
      </c>
      <c r="AM21">
        <v>6.8939929694599264E-2</v>
      </c>
      <c r="AN21">
        <v>4.432305600848381E-2</v>
      </c>
      <c r="AO21">
        <v>0.67444667737832498</v>
      </c>
      <c r="AP21">
        <v>1</v>
      </c>
      <c r="AQ21">
        <v>9.7281783417037818E-2</v>
      </c>
      <c r="AR21">
        <v>6.7905343416867658E-2</v>
      </c>
      <c r="AS21">
        <v>4.4008943307457263E-2</v>
      </c>
      <c r="AT21">
        <v>0.64746231845424518</v>
      </c>
      <c r="AU21">
        <v>1</v>
      </c>
      <c r="AV21">
        <v>0.10148692884031967</v>
      </c>
      <c r="AW21">
        <v>6.6138442450206281E-2</v>
      </c>
      <c r="AX21">
        <v>4.3271162871117048E-2</v>
      </c>
      <c r="AY21">
        <v>0.75935079707811848</v>
      </c>
      <c r="AZ21">
        <v>1</v>
      </c>
      <c r="BA21">
        <v>9.9915423150774951E-2</v>
      </c>
      <c r="BB21">
        <v>6.601580380264388E-2</v>
      </c>
      <c r="BC21">
        <v>4.2660536427730635E-2</v>
      </c>
      <c r="BD21">
        <v>0.63079769755560966</v>
      </c>
      <c r="BE21">
        <v>1</v>
      </c>
      <c r="BF21">
        <v>9.3493109869492316E-2</v>
      </c>
      <c r="BG21">
        <v>6.3328126589968531E-2</v>
      </c>
      <c r="BH21">
        <v>4.1097315537680958E-2</v>
      </c>
      <c r="BI21">
        <v>0.66210605013858459</v>
      </c>
      <c r="BJ21">
        <v>1</v>
      </c>
      <c r="BK21">
        <v>9.895611422316454E-2</v>
      </c>
      <c r="BL21">
        <v>6.4120457245277221E-2</v>
      </c>
      <c r="BM21">
        <v>4.1557167959454515E-2</v>
      </c>
      <c r="BN21">
        <v>0.7546765679330244</v>
      </c>
      <c r="BO21">
        <v>1</v>
      </c>
      <c r="BP21">
        <v>0.10202145520783491</v>
      </c>
      <c r="BQ21">
        <v>6.5247675843893363E-2</v>
      </c>
      <c r="BR21">
        <v>4.3565549535277873E-2</v>
      </c>
    </row>
    <row r="22" spans="1:70" x14ac:dyDescent="0.15">
      <c r="A22">
        <v>0.73974733782533675</v>
      </c>
      <c r="B22">
        <v>1</v>
      </c>
      <c r="C22">
        <v>0.10689289165414942</v>
      </c>
      <c r="D22">
        <v>6.8280555616289609E-2</v>
      </c>
      <c r="E22">
        <v>4.3983360239196606E-2</v>
      </c>
      <c r="F22">
        <v>0.76549544155977822</v>
      </c>
      <c r="G22">
        <v>1</v>
      </c>
      <c r="H22">
        <v>0.10802892714647704</v>
      </c>
      <c r="I22">
        <v>6.8253015173464202E-2</v>
      </c>
      <c r="J22">
        <v>4.3219729890652182E-2</v>
      </c>
      <c r="K22">
        <v>0.85383984627231513</v>
      </c>
      <c r="L22">
        <v>1</v>
      </c>
      <c r="M22">
        <v>0.11214507964991234</v>
      </c>
      <c r="N22">
        <v>6.4587509683764366E-2</v>
      </c>
      <c r="O22">
        <v>4.5395233511165568E-2</v>
      </c>
      <c r="P22">
        <v>0.5886365994444247</v>
      </c>
      <c r="Q22">
        <v>1</v>
      </c>
      <c r="R22">
        <v>8.2481460263314571E-2</v>
      </c>
      <c r="S22">
        <v>6.5199543038118382E-2</v>
      </c>
      <c r="T22">
        <v>4.1640614842172054E-2</v>
      </c>
      <c r="U22">
        <v>0.61703364037472597</v>
      </c>
      <c r="V22">
        <v>1</v>
      </c>
      <c r="W22">
        <v>9.159683855827809E-2</v>
      </c>
      <c r="X22">
        <v>6.5502863078448131E-2</v>
      </c>
      <c r="Y22">
        <v>4.2445702062377993E-2</v>
      </c>
      <c r="Z22">
        <v>0.64748652668630235</v>
      </c>
      <c r="AA22">
        <v>1</v>
      </c>
      <c r="AB22">
        <v>9.7315138367729884E-2</v>
      </c>
      <c r="AC22">
        <v>6.820318069453532E-2</v>
      </c>
      <c r="AD22">
        <v>4.5113291008177202E-2</v>
      </c>
      <c r="AE22">
        <v>0.77269280868011303</v>
      </c>
      <c r="AF22">
        <v>1</v>
      </c>
      <c r="AG22">
        <v>0.10619255345333502</v>
      </c>
      <c r="AH22">
        <v>6.6921944831911426E-2</v>
      </c>
      <c r="AI22">
        <v>4.4310627139565698E-2</v>
      </c>
      <c r="AJ22">
        <v>0.71749675616066788</v>
      </c>
      <c r="AK22">
        <v>1</v>
      </c>
      <c r="AL22">
        <v>0.10539792099833667</v>
      </c>
      <c r="AM22">
        <v>6.9286801418496108E-2</v>
      </c>
      <c r="AN22">
        <v>4.4676065017381549E-2</v>
      </c>
      <c r="AO22">
        <v>0.69644356610516411</v>
      </c>
      <c r="AP22">
        <v>1</v>
      </c>
      <c r="AQ22">
        <v>9.8971642225039222E-2</v>
      </c>
      <c r="AR22">
        <v>6.7286499053477236E-2</v>
      </c>
      <c r="AS22">
        <v>4.4642571749981597E-2</v>
      </c>
      <c r="AT22">
        <v>0.65358051032637388</v>
      </c>
      <c r="AU22">
        <v>1</v>
      </c>
      <c r="AV22">
        <v>9.4418407561733211E-2</v>
      </c>
      <c r="AW22">
        <v>6.7440802453574727E-2</v>
      </c>
      <c r="AX22">
        <v>4.4212825932989246E-2</v>
      </c>
      <c r="AY22">
        <v>0.76805277185092669</v>
      </c>
      <c r="AZ22">
        <v>1</v>
      </c>
      <c r="BA22">
        <v>0.10284326761272729</v>
      </c>
      <c r="BB22">
        <v>6.5432960505943313E-2</v>
      </c>
      <c r="BC22">
        <v>4.2540349367852469E-2</v>
      </c>
      <c r="BD22">
        <v>0.64973953883510471</v>
      </c>
      <c r="BE22">
        <v>1</v>
      </c>
      <c r="BF22">
        <v>9.5936633836293583E-2</v>
      </c>
      <c r="BG22">
        <v>6.1406952227824871E-2</v>
      </c>
      <c r="BH22">
        <v>4.1373337179569515E-2</v>
      </c>
      <c r="BI22">
        <v>0.6748747396299436</v>
      </c>
      <c r="BJ22">
        <v>1</v>
      </c>
      <c r="BK22">
        <v>9.2339361053424163E-2</v>
      </c>
      <c r="BL22">
        <v>6.5328801854192084E-2</v>
      </c>
      <c r="BM22">
        <v>4.2110856360305232E-2</v>
      </c>
      <c r="BN22">
        <v>0.75959588411974699</v>
      </c>
      <c r="BO22">
        <v>1</v>
      </c>
      <c r="BP22">
        <v>0.10485308682994289</v>
      </c>
      <c r="BQ22">
        <v>6.3404607958488693E-2</v>
      </c>
      <c r="BR22">
        <v>4.3534602608636855E-2</v>
      </c>
    </row>
    <row r="23" spans="1:70" x14ac:dyDescent="0.15">
      <c r="A23">
        <v>0.74573532704512546</v>
      </c>
      <c r="B23">
        <v>1</v>
      </c>
      <c r="C23">
        <v>0.11109326014776204</v>
      </c>
      <c r="D23">
        <v>6.9326856753522931E-2</v>
      </c>
      <c r="E23">
        <v>4.3952971201579677E-2</v>
      </c>
      <c r="F23">
        <v>0.76234999563060546</v>
      </c>
      <c r="G23">
        <v>1</v>
      </c>
      <c r="H23">
        <v>0.10695585962049156</v>
      </c>
      <c r="I23">
        <v>6.8269237181675685E-2</v>
      </c>
      <c r="J23">
        <v>4.3852255035219764E-2</v>
      </c>
      <c r="K23">
        <v>0.8493604439410446</v>
      </c>
      <c r="L23">
        <v>1</v>
      </c>
      <c r="M23">
        <v>0.11110496052655819</v>
      </c>
      <c r="N23">
        <v>6.705760615571256E-2</v>
      </c>
      <c r="O23">
        <v>4.4591632030012957E-2</v>
      </c>
      <c r="P23">
        <v>0.59262148271236059</v>
      </c>
      <c r="Q23">
        <v>1</v>
      </c>
      <c r="R23">
        <v>8.2049556205397389E-2</v>
      </c>
      <c r="S23">
        <v>6.5109765031053188E-2</v>
      </c>
      <c r="T23">
        <v>4.1712023890054871E-2</v>
      </c>
      <c r="U23">
        <v>0.62160766521539379</v>
      </c>
      <c r="V23">
        <v>1</v>
      </c>
      <c r="W23">
        <v>8.8361019134504837E-2</v>
      </c>
      <c r="X23">
        <v>6.4424186116047832E-2</v>
      </c>
      <c r="Y23">
        <v>4.219046551165672E-2</v>
      </c>
      <c r="Z23">
        <v>0.65557637979210825</v>
      </c>
      <c r="AA23">
        <v>1</v>
      </c>
      <c r="AB23">
        <v>9.7788881462890678E-2</v>
      </c>
      <c r="AC23">
        <v>6.7969411575764735E-2</v>
      </c>
      <c r="AD23">
        <v>4.4056910557263483E-2</v>
      </c>
      <c r="AE23">
        <v>0.7653790803107694</v>
      </c>
      <c r="AF23">
        <v>1</v>
      </c>
      <c r="AG23">
        <v>0.11077381813358467</v>
      </c>
      <c r="AH23">
        <v>6.6196885098864858E-2</v>
      </c>
      <c r="AI23">
        <v>4.2891894007906425E-2</v>
      </c>
      <c r="AJ23">
        <v>0.69585201029523569</v>
      </c>
      <c r="AK23">
        <v>1</v>
      </c>
      <c r="AL23">
        <v>0.10166466238636376</v>
      </c>
      <c r="AM23">
        <v>6.7835017520755075E-2</v>
      </c>
      <c r="AN23">
        <v>4.3509477676265805E-2</v>
      </c>
      <c r="AO23">
        <v>0.69624159869687852</v>
      </c>
      <c r="AP23">
        <v>1</v>
      </c>
      <c r="AQ23">
        <v>0.10193996934059427</v>
      </c>
      <c r="AR23">
        <v>6.7538267736782301E-2</v>
      </c>
      <c r="AS23">
        <v>4.3724553610112883E-2</v>
      </c>
      <c r="AT23">
        <v>0.65667511752532481</v>
      </c>
      <c r="AU23">
        <v>1</v>
      </c>
      <c r="AV23">
        <v>0.10222499419675606</v>
      </c>
      <c r="AW23">
        <v>6.7063903807314751E-2</v>
      </c>
      <c r="AX23">
        <v>4.2678848945544759E-2</v>
      </c>
      <c r="AY23">
        <v>0.77269448631357851</v>
      </c>
      <c r="AZ23">
        <v>1</v>
      </c>
      <c r="BA23">
        <v>0.10961165936519779</v>
      </c>
      <c r="BB23">
        <v>6.6928466417284643E-2</v>
      </c>
      <c r="BC23">
        <v>4.2257283539025269E-2</v>
      </c>
      <c r="BD23">
        <v>0.65645940155600502</v>
      </c>
      <c r="BE23">
        <v>1</v>
      </c>
      <c r="BF23">
        <v>9.316819792592311E-2</v>
      </c>
      <c r="BG23">
        <v>6.3068053379246258E-2</v>
      </c>
      <c r="BH23">
        <v>4.1603667571460751E-2</v>
      </c>
      <c r="BI23">
        <v>0.66616029053548009</v>
      </c>
      <c r="BJ23">
        <v>1</v>
      </c>
      <c r="BK23">
        <v>0.10150460161375954</v>
      </c>
      <c r="BL23">
        <v>6.4793425043278355E-2</v>
      </c>
      <c r="BM23">
        <v>4.1972804473420312E-2</v>
      </c>
      <c r="BN23">
        <v>0.74316176685241286</v>
      </c>
      <c r="BO23">
        <v>1</v>
      </c>
      <c r="BP23">
        <v>0.10168025034673232</v>
      </c>
      <c r="BQ23">
        <v>6.6122574801513137E-2</v>
      </c>
      <c r="BR23">
        <v>4.2723666864646709E-2</v>
      </c>
    </row>
    <row r="24" spans="1:70" x14ac:dyDescent="0.15">
      <c r="A24">
        <v>0.73668397851426104</v>
      </c>
      <c r="B24">
        <v>1</v>
      </c>
      <c r="C24">
        <v>0.10468781854341401</v>
      </c>
      <c r="D24">
        <v>6.7879652945444291E-2</v>
      </c>
      <c r="E24">
        <v>4.328233916166184E-2</v>
      </c>
      <c r="F24">
        <v>0.7533085135680514</v>
      </c>
      <c r="G24">
        <v>1</v>
      </c>
      <c r="H24">
        <v>0.10835156062405767</v>
      </c>
      <c r="I24">
        <v>6.7163678062160878E-2</v>
      </c>
      <c r="J24">
        <v>4.296404605001429E-2</v>
      </c>
      <c r="K24">
        <v>0.86355375300184412</v>
      </c>
      <c r="L24">
        <v>1</v>
      </c>
      <c r="M24">
        <v>0.11163320499694548</v>
      </c>
      <c r="N24">
        <v>6.7497883689539712E-2</v>
      </c>
      <c r="O24">
        <v>4.4763754007480214E-2</v>
      </c>
      <c r="P24">
        <v>0.58962583678338543</v>
      </c>
      <c r="Q24">
        <v>1</v>
      </c>
      <c r="R24">
        <v>8.0489381023521614E-2</v>
      </c>
      <c r="S24">
        <v>6.4723571012798881E-2</v>
      </c>
      <c r="T24">
        <v>4.1508417168290589E-2</v>
      </c>
      <c r="U24">
        <v>0.61499263068214627</v>
      </c>
      <c r="V24">
        <v>1</v>
      </c>
      <c r="W24">
        <v>8.8417186754320559E-2</v>
      </c>
      <c r="X24">
        <v>6.4683642344910044E-2</v>
      </c>
      <c r="Y24">
        <v>4.1015055901437281E-2</v>
      </c>
      <c r="Z24">
        <v>0.64248017971841198</v>
      </c>
      <c r="AA24">
        <v>1</v>
      </c>
      <c r="AB24">
        <v>9.6735795514010833E-2</v>
      </c>
      <c r="AC24">
        <v>6.8132865949878357E-2</v>
      </c>
      <c r="AD24">
        <v>4.3916175848013835E-2</v>
      </c>
      <c r="AE24">
        <v>0.76860251497986942</v>
      </c>
      <c r="AF24">
        <v>1</v>
      </c>
      <c r="AG24">
        <v>0.10278367426579857</v>
      </c>
      <c r="AH24">
        <v>6.7904846459592966E-2</v>
      </c>
      <c r="AI24">
        <v>4.4671230035580434E-2</v>
      </c>
      <c r="AJ24">
        <v>0.70619019809392425</v>
      </c>
      <c r="AK24">
        <v>1</v>
      </c>
      <c r="AL24">
        <v>9.6713478667093553E-2</v>
      </c>
      <c r="AM24">
        <v>6.8835275305904706E-2</v>
      </c>
      <c r="AN24">
        <v>4.4620878425339697E-2</v>
      </c>
      <c r="AO24">
        <v>0.67678451316264354</v>
      </c>
      <c r="AP24">
        <v>1</v>
      </c>
      <c r="AQ24">
        <v>0.10365572850878628</v>
      </c>
      <c r="AR24">
        <v>6.8498175972435585E-2</v>
      </c>
      <c r="AS24">
        <v>4.3742850992238125E-2</v>
      </c>
      <c r="AT24">
        <v>0.64736372178227519</v>
      </c>
      <c r="AU24">
        <v>1</v>
      </c>
      <c r="AV24">
        <v>9.5902269747998328E-2</v>
      </c>
      <c r="AW24">
        <v>6.8386415775279735E-2</v>
      </c>
      <c r="AX24">
        <v>4.2979685613809382E-2</v>
      </c>
      <c r="AY24">
        <v>0.74539889225072387</v>
      </c>
      <c r="AZ24">
        <v>1</v>
      </c>
      <c r="BA24">
        <v>0.10093767011645559</v>
      </c>
      <c r="BB24">
        <v>6.4372272829043023E-2</v>
      </c>
      <c r="BC24">
        <v>4.3002842838733714E-2</v>
      </c>
      <c r="BD24">
        <v>0.6435110046201431</v>
      </c>
      <c r="BE24">
        <v>1</v>
      </c>
      <c r="BF24">
        <v>8.8560405939593287E-2</v>
      </c>
      <c r="BG24">
        <v>6.2099731260139464E-2</v>
      </c>
      <c r="BH24">
        <v>4.1169044061618948E-2</v>
      </c>
      <c r="BI24">
        <v>0.66658476822719082</v>
      </c>
      <c r="BJ24">
        <v>1</v>
      </c>
      <c r="BK24">
        <v>0.10156299190186249</v>
      </c>
      <c r="BL24">
        <v>6.3457235243585597E-2</v>
      </c>
      <c r="BM24">
        <v>4.2189095721391283E-2</v>
      </c>
      <c r="BN24">
        <v>0.75736147760225747</v>
      </c>
      <c r="BO24">
        <v>1</v>
      </c>
      <c r="BP24">
        <v>0.10103667878596007</v>
      </c>
      <c r="BQ24">
        <v>6.4574682107588793E-2</v>
      </c>
      <c r="BR24">
        <v>4.2895361156199602E-2</v>
      </c>
    </row>
    <row r="25" spans="1:70" x14ac:dyDescent="0.15">
      <c r="A25">
        <v>0.73907600577777088</v>
      </c>
      <c r="B25">
        <v>1</v>
      </c>
      <c r="C25">
        <v>0.10174754921756043</v>
      </c>
      <c r="D25">
        <v>6.8683624327491505E-2</v>
      </c>
      <c r="E25">
        <v>4.3236861551804721E-2</v>
      </c>
      <c r="F25">
        <v>0.76514915607671896</v>
      </c>
      <c r="G25">
        <v>1</v>
      </c>
      <c r="H25">
        <v>0.10630980039047419</v>
      </c>
      <c r="I25">
        <v>6.7306634058190817E-2</v>
      </c>
      <c r="J25">
        <v>4.3187191276171648E-2</v>
      </c>
      <c r="K25">
        <v>0.85690039942514029</v>
      </c>
      <c r="L25">
        <v>1</v>
      </c>
      <c r="M25">
        <v>0.10933486176527149</v>
      </c>
      <c r="N25">
        <v>6.5497695034879094E-2</v>
      </c>
      <c r="O25">
        <v>4.4717821205855386E-2</v>
      </c>
      <c r="P25">
        <v>0.59021336119535095</v>
      </c>
      <c r="Q25">
        <v>1</v>
      </c>
      <c r="R25">
        <v>8.2620749032135177E-2</v>
      </c>
      <c r="S25">
        <v>6.495702087012252E-2</v>
      </c>
      <c r="T25">
        <v>4.2195257316022715E-2</v>
      </c>
      <c r="U25">
        <v>0.61943581294282579</v>
      </c>
      <c r="V25">
        <v>1</v>
      </c>
      <c r="W25">
        <v>8.6379715240121516E-2</v>
      </c>
      <c r="X25">
        <v>6.6267817792278028E-2</v>
      </c>
      <c r="Y25">
        <v>4.1463508650035577E-2</v>
      </c>
      <c r="Z25">
        <v>0.64798910653269681</v>
      </c>
      <c r="AA25">
        <v>1</v>
      </c>
      <c r="AB25">
        <v>9.6487565337201708E-2</v>
      </c>
      <c r="AC25">
        <v>6.7594070858121108E-2</v>
      </c>
      <c r="AD25">
        <v>4.4512090317963555E-2</v>
      </c>
      <c r="AE25">
        <v>0.77081265640886132</v>
      </c>
      <c r="AF25">
        <v>1</v>
      </c>
      <c r="AG25">
        <v>0.11160204519582624</v>
      </c>
      <c r="AH25">
        <v>6.8163770472308607E-2</v>
      </c>
      <c r="AI25">
        <v>4.483124829857283E-2</v>
      </c>
      <c r="AJ25">
        <v>0.70801641760115142</v>
      </c>
      <c r="AK25">
        <v>1</v>
      </c>
      <c r="AL25">
        <v>0.10461594466914192</v>
      </c>
      <c r="AM25">
        <v>6.9279541342750245E-2</v>
      </c>
      <c r="AN25">
        <v>4.4259467138564448E-2</v>
      </c>
      <c r="AO25">
        <v>0.68943630589229554</v>
      </c>
      <c r="AP25">
        <v>1</v>
      </c>
      <c r="AQ25">
        <v>0.10259266210948843</v>
      </c>
      <c r="AR25">
        <v>6.8859664571926313E-2</v>
      </c>
      <c r="AS25">
        <v>4.4692424092110897E-2</v>
      </c>
      <c r="AT25">
        <v>0.64469183770385519</v>
      </c>
      <c r="AU25">
        <v>1</v>
      </c>
      <c r="AV25">
        <v>9.3316841104239628E-2</v>
      </c>
      <c r="AW25">
        <v>6.7176091138982735E-2</v>
      </c>
      <c r="AX25">
        <v>4.4045476306079752E-2</v>
      </c>
      <c r="AY25">
        <v>0.7720520096207214</v>
      </c>
      <c r="AZ25">
        <v>1</v>
      </c>
      <c r="BA25">
        <v>0.1055075477361616</v>
      </c>
      <c r="BB25">
        <v>6.581187372160073E-2</v>
      </c>
      <c r="BC25">
        <v>4.2644621647650406E-2</v>
      </c>
      <c r="BD25">
        <v>0.65879637659961221</v>
      </c>
      <c r="BE25">
        <v>1</v>
      </c>
      <c r="BF25">
        <v>9.5288327800779851E-2</v>
      </c>
      <c r="BG25">
        <v>6.3258093870791482E-2</v>
      </c>
      <c r="BH25">
        <v>4.1562154230965029E-2</v>
      </c>
      <c r="BI25">
        <v>0.65307210815810701</v>
      </c>
      <c r="BJ25">
        <v>1</v>
      </c>
      <c r="BK25">
        <v>9.1728979698697519E-2</v>
      </c>
      <c r="BL25">
        <v>6.461792363456699E-2</v>
      </c>
      <c r="BM25">
        <v>4.169435533520021E-2</v>
      </c>
      <c r="BN25">
        <v>0.75657477651325178</v>
      </c>
      <c r="BO25">
        <v>1</v>
      </c>
      <c r="BP25">
        <v>0.10207308408474666</v>
      </c>
      <c r="BQ25">
        <v>6.4407995548604366E-2</v>
      </c>
      <c r="BR25">
        <v>4.3064050595758852E-2</v>
      </c>
    </row>
    <row r="26" spans="1:70" x14ac:dyDescent="0.15">
      <c r="A26">
        <v>0.76087384010463177</v>
      </c>
      <c r="B26">
        <v>1</v>
      </c>
      <c r="C26">
        <v>0.10613322055419111</v>
      </c>
      <c r="D26">
        <v>6.8313287393332978E-2</v>
      </c>
      <c r="E26">
        <v>4.4053997236188275E-2</v>
      </c>
      <c r="F26">
        <v>0.77534347185108476</v>
      </c>
      <c r="G26">
        <v>1</v>
      </c>
      <c r="H26">
        <v>0.10346817009535123</v>
      </c>
      <c r="I26">
        <v>6.6479212590406803E-2</v>
      </c>
      <c r="J26">
        <v>4.4224763475728034E-2</v>
      </c>
      <c r="K26">
        <v>0.85246641245867816</v>
      </c>
      <c r="L26">
        <v>1</v>
      </c>
      <c r="M26">
        <v>0.10755063116444462</v>
      </c>
      <c r="N26">
        <v>6.6505329619908432E-2</v>
      </c>
      <c r="O26">
        <v>4.4125743394873553E-2</v>
      </c>
      <c r="P26">
        <v>0.59118464193704023</v>
      </c>
      <c r="Q26">
        <v>1</v>
      </c>
      <c r="R26">
        <v>8.383477239216014E-2</v>
      </c>
      <c r="S26">
        <v>6.4559938521581928E-2</v>
      </c>
      <c r="T26">
        <v>4.1159868217458262E-2</v>
      </c>
      <c r="U26">
        <v>0.62173701461938724</v>
      </c>
      <c r="V26">
        <v>1</v>
      </c>
      <c r="W26">
        <v>8.6233442586932704E-2</v>
      </c>
      <c r="X26">
        <v>6.5604724687485669E-2</v>
      </c>
      <c r="Y26">
        <v>4.1986788932660439E-2</v>
      </c>
      <c r="Z26">
        <v>0.65039457539872469</v>
      </c>
      <c r="AA26">
        <v>1</v>
      </c>
      <c r="AB26">
        <v>9.997313508763811E-2</v>
      </c>
      <c r="AC26">
        <v>6.8111721975913919E-2</v>
      </c>
      <c r="AD26">
        <v>4.476299956684987E-2</v>
      </c>
      <c r="AE26">
        <v>0.77289126471950642</v>
      </c>
      <c r="AF26">
        <v>1</v>
      </c>
      <c r="AG26">
        <v>0.10776129836996007</v>
      </c>
      <c r="AH26">
        <v>6.6246891622743553E-2</v>
      </c>
      <c r="AI26">
        <v>4.3196777918285301E-2</v>
      </c>
      <c r="AJ26">
        <v>0.72098922596454584</v>
      </c>
      <c r="AK26">
        <v>1</v>
      </c>
      <c r="AL26">
        <v>0.10303703942036782</v>
      </c>
      <c r="AM26">
        <v>6.8980738478746098E-2</v>
      </c>
      <c r="AN26">
        <v>4.5037678357133681E-2</v>
      </c>
      <c r="AO26">
        <v>0.68484433224997188</v>
      </c>
      <c r="AP26">
        <v>1</v>
      </c>
      <c r="AQ26">
        <v>0.1013488865154612</v>
      </c>
      <c r="AR26">
        <v>6.7338494474008595E-2</v>
      </c>
      <c r="AS26">
        <v>4.4136289980220407E-2</v>
      </c>
      <c r="AT26">
        <v>0.6594091242665312</v>
      </c>
      <c r="AU26">
        <v>1</v>
      </c>
      <c r="AV26">
        <v>9.8147125015922876E-2</v>
      </c>
      <c r="AW26">
        <v>6.6647894467753224E-2</v>
      </c>
      <c r="AX26">
        <v>4.3355080491946377E-2</v>
      </c>
      <c r="AY26">
        <v>0.75579246703532588</v>
      </c>
      <c r="AZ26">
        <v>1</v>
      </c>
      <c r="BA26">
        <v>0.10535403834253841</v>
      </c>
      <c r="BB26">
        <v>6.5268591193236414E-2</v>
      </c>
      <c r="BC26">
        <v>4.352341701035245E-2</v>
      </c>
      <c r="BD26">
        <v>0.66195026897221776</v>
      </c>
      <c r="BE26">
        <v>1</v>
      </c>
      <c r="BF26">
        <v>9.0056908655286774E-2</v>
      </c>
      <c r="BG26">
        <v>6.4338403426827853E-2</v>
      </c>
      <c r="BH26">
        <v>4.0461633088202414E-2</v>
      </c>
      <c r="BI26">
        <v>0.67180830347417297</v>
      </c>
      <c r="BJ26">
        <v>1</v>
      </c>
      <c r="BK26">
        <v>9.0938554000832728E-2</v>
      </c>
      <c r="BL26">
        <v>6.467081851679074E-2</v>
      </c>
      <c r="BM26">
        <v>4.1451174653013491E-2</v>
      </c>
      <c r="BN26">
        <v>0.75317907107981552</v>
      </c>
      <c r="BO26">
        <v>1</v>
      </c>
      <c r="BP26">
        <v>0.10072847382548389</v>
      </c>
      <c r="BQ26">
        <v>6.6079767022066957E-2</v>
      </c>
      <c r="BR26">
        <v>4.3309342853302936E-2</v>
      </c>
    </row>
    <row r="27" spans="1:70" x14ac:dyDescent="0.15">
      <c r="A27">
        <v>0.72808605957805028</v>
      </c>
      <c r="B27">
        <v>1</v>
      </c>
      <c r="C27">
        <v>0.10416917306677975</v>
      </c>
      <c r="D27">
        <v>6.8172714718265082E-2</v>
      </c>
      <c r="E27">
        <v>4.3841574352786697E-2</v>
      </c>
      <c r="F27">
        <v>0.77342501032228028</v>
      </c>
      <c r="G27">
        <v>1</v>
      </c>
      <c r="H27">
        <v>0.10395605021865834</v>
      </c>
      <c r="I27">
        <v>6.6193590777415393E-2</v>
      </c>
      <c r="J27">
        <v>4.3161515621905025E-2</v>
      </c>
      <c r="K27">
        <v>0.87339528485493356</v>
      </c>
      <c r="L27">
        <v>1</v>
      </c>
      <c r="M27">
        <v>0.11549057202636616</v>
      </c>
      <c r="N27">
        <v>6.5914459753329019E-2</v>
      </c>
      <c r="O27">
        <v>4.3687520457544364E-2</v>
      </c>
      <c r="P27">
        <v>0.59209666438745223</v>
      </c>
      <c r="Q27">
        <v>1</v>
      </c>
      <c r="R27">
        <v>8.6208604396925945E-2</v>
      </c>
      <c r="S27">
        <v>6.5174537474555622E-2</v>
      </c>
      <c r="T27">
        <v>3.9864425090178839E-2</v>
      </c>
      <c r="U27">
        <v>0.60075009125985324</v>
      </c>
      <c r="V27">
        <v>1</v>
      </c>
      <c r="W27">
        <v>9.0316538930212881E-2</v>
      </c>
      <c r="X27">
        <v>6.4989728810109962E-2</v>
      </c>
      <c r="Y27">
        <v>4.2353098165943709E-2</v>
      </c>
      <c r="Z27">
        <v>0.65166340108453635</v>
      </c>
      <c r="AA27">
        <v>1</v>
      </c>
      <c r="AB27">
        <v>9.609803703081439E-2</v>
      </c>
      <c r="AC27">
        <v>6.7823329831311258E-2</v>
      </c>
      <c r="AD27">
        <v>4.4688557118532431E-2</v>
      </c>
      <c r="AE27">
        <v>0.77750087157528502</v>
      </c>
      <c r="AF27">
        <v>1</v>
      </c>
      <c r="AG27">
        <v>0.10476482380918149</v>
      </c>
      <c r="AH27">
        <v>6.8692922739227308E-2</v>
      </c>
      <c r="AI27">
        <v>4.4206906521578028E-2</v>
      </c>
      <c r="AJ27">
        <v>0.69724475281680265</v>
      </c>
      <c r="AK27">
        <v>1</v>
      </c>
      <c r="AL27">
        <v>0.10235627446756301</v>
      </c>
      <c r="AM27">
        <v>6.8254439598455036E-2</v>
      </c>
      <c r="AN27">
        <v>4.3426632172338164E-2</v>
      </c>
      <c r="AO27">
        <v>0.69160224816751747</v>
      </c>
      <c r="AP27">
        <v>1</v>
      </c>
      <c r="AQ27">
        <v>9.9397858212432785E-2</v>
      </c>
      <c r="AR27">
        <v>6.7942386600562829E-2</v>
      </c>
      <c r="AS27">
        <v>4.30086139634763E-2</v>
      </c>
      <c r="AT27">
        <v>0.64540981326616287</v>
      </c>
      <c r="AU27">
        <v>1</v>
      </c>
      <c r="AV27">
        <v>9.6035761012502857E-2</v>
      </c>
      <c r="AW27">
        <v>6.6462094600270138E-2</v>
      </c>
      <c r="AX27">
        <v>4.3311175588034045E-2</v>
      </c>
      <c r="AY27">
        <v>0.76047058214164109</v>
      </c>
      <c r="AZ27">
        <v>1</v>
      </c>
      <c r="BA27">
        <v>0.10501775798777271</v>
      </c>
      <c r="BB27">
        <v>6.4861424474999554E-2</v>
      </c>
      <c r="BC27">
        <v>4.1922725872368845E-2</v>
      </c>
      <c r="BD27">
        <v>0.65196195617433217</v>
      </c>
      <c r="BE27">
        <v>1</v>
      </c>
      <c r="BF27">
        <v>9.1985324219163514E-2</v>
      </c>
      <c r="BG27">
        <v>6.3107532015328177E-2</v>
      </c>
      <c r="BH27">
        <v>4.0588149467847799E-2</v>
      </c>
      <c r="BI27">
        <v>0.66639464583656527</v>
      </c>
      <c r="BJ27">
        <v>1</v>
      </c>
      <c r="BK27">
        <v>9.8036480256158243E-2</v>
      </c>
      <c r="BL27">
        <v>6.4826925081238315E-2</v>
      </c>
      <c r="BM27">
        <v>4.2585461183891671E-2</v>
      </c>
      <c r="BN27">
        <v>0.76488694292382486</v>
      </c>
      <c r="BO27">
        <v>1</v>
      </c>
      <c r="BP27">
        <v>9.9580788746542762E-2</v>
      </c>
      <c r="BQ27">
        <v>6.658645174578541E-2</v>
      </c>
      <c r="BR27">
        <v>4.2253933996551675E-2</v>
      </c>
    </row>
    <row r="28" spans="1:70" x14ac:dyDescent="0.15">
      <c r="A28">
        <v>0.74377411324772147</v>
      </c>
      <c r="B28">
        <v>1</v>
      </c>
      <c r="C28">
        <v>0.10648103669375474</v>
      </c>
      <c r="D28">
        <v>6.9536190590846716E-2</v>
      </c>
      <c r="E28">
        <v>4.4907834673940238E-2</v>
      </c>
      <c r="F28">
        <v>0.7607156737405818</v>
      </c>
      <c r="G28">
        <v>1</v>
      </c>
      <c r="H28">
        <v>0.10761745152839267</v>
      </c>
      <c r="I28">
        <v>6.7821828125703434E-2</v>
      </c>
      <c r="J28">
        <v>4.3608872197457335E-2</v>
      </c>
      <c r="K28">
        <v>0.85120921604264033</v>
      </c>
      <c r="L28">
        <v>1</v>
      </c>
      <c r="M28">
        <v>0.11028928909228557</v>
      </c>
      <c r="N28">
        <v>6.6605668147354899E-2</v>
      </c>
      <c r="O28">
        <v>4.4217420256812363E-2</v>
      </c>
      <c r="P28">
        <v>0.58675949925291515</v>
      </c>
      <c r="Q28">
        <v>1</v>
      </c>
      <c r="R28">
        <v>8.3419892501523332E-2</v>
      </c>
      <c r="S28">
        <v>6.4389603444794705E-2</v>
      </c>
      <c r="T28">
        <v>4.1812048175856799E-2</v>
      </c>
      <c r="U28">
        <v>0.61599069089096081</v>
      </c>
      <c r="V28">
        <v>1</v>
      </c>
      <c r="W28">
        <v>8.8730147469833459E-2</v>
      </c>
      <c r="X28">
        <v>6.5169535695029507E-2</v>
      </c>
      <c r="Y28">
        <v>4.2005901839798292E-2</v>
      </c>
      <c r="Z28">
        <v>0.65314382236473056</v>
      </c>
      <c r="AA28">
        <v>1</v>
      </c>
      <c r="AB28">
        <v>9.8379424371022359E-2</v>
      </c>
      <c r="AC28">
        <v>6.9059806780355892E-2</v>
      </c>
      <c r="AD28">
        <v>4.4481326526256248E-2</v>
      </c>
      <c r="AE28">
        <v>0.75342472409073091</v>
      </c>
      <c r="AF28">
        <v>1</v>
      </c>
      <c r="AG28">
        <v>0.10365750734299489</v>
      </c>
      <c r="AH28">
        <v>6.8198205298452871E-2</v>
      </c>
      <c r="AI28">
        <v>4.4164124910540864E-2</v>
      </c>
      <c r="AJ28">
        <v>0.6998743946166941</v>
      </c>
      <c r="AK28">
        <v>1</v>
      </c>
      <c r="AL28">
        <v>9.9752429924669317E-2</v>
      </c>
      <c r="AM28">
        <v>6.7871345687037635E-2</v>
      </c>
      <c r="AN28">
        <v>4.3849547311687928E-2</v>
      </c>
      <c r="AO28">
        <v>0.68903744286038215</v>
      </c>
      <c r="AP28">
        <v>1</v>
      </c>
      <c r="AQ28">
        <v>9.7635963604116041E-2</v>
      </c>
      <c r="AR28">
        <v>6.5996586966950432E-2</v>
      </c>
      <c r="AS28">
        <v>4.4234522684701384E-2</v>
      </c>
      <c r="AT28">
        <v>0.66591670208525966</v>
      </c>
      <c r="AU28">
        <v>1</v>
      </c>
      <c r="AV28">
        <v>9.8445958422270483E-2</v>
      </c>
      <c r="AW28">
        <v>6.6256878961006946E-2</v>
      </c>
      <c r="AX28">
        <v>4.4455995981690435E-2</v>
      </c>
      <c r="AY28">
        <v>0.77153103974501236</v>
      </c>
      <c r="AZ28">
        <v>1</v>
      </c>
      <c r="BA28">
        <v>0.10480097707853465</v>
      </c>
      <c r="BB28">
        <v>6.6740400694469473E-2</v>
      </c>
      <c r="BC28">
        <v>4.2720228388645962E-2</v>
      </c>
      <c r="BD28">
        <v>0.65004211073891094</v>
      </c>
      <c r="BE28">
        <v>1</v>
      </c>
      <c r="BF28">
        <v>9.7324855297593493E-2</v>
      </c>
      <c r="BG28">
        <v>6.4672113532875122E-2</v>
      </c>
      <c r="BH28">
        <v>4.1011537845310087E-2</v>
      </c>
      <c r="BI28">
        <v>0.65662082003405331</v>
      </c>
      <c r="BJ28">
        <v>1</v>
      </c>
      <c r="BK28">
        <v>9.1504868199411935E-2</v>
      </c>
      <c r="BL28">
        <v>6.3800509083847337E-2</v>
      </c>
      <c r="BM28">
        <v>4.2960455085390238E-2</v>
      </c>
      <c r="BN28">
        <v>0.75458253867857161</v>
      </c>
      <c r="BO28">
        <v>1</v>
      </c>
      <c r="BP28">
        <v>0.10289090187308417</v>
      </c>
      <c r="BQ28">
        <v>6.5637755784531654E-2</v>
      </c>
      <c r="BR28">
        <v>4.3994037889883354E-2</v>
      </c>
    </row>
    <row r="29" spans="1:70" x14ac:dyDescent="0.15">
      <c r="A29">
        <v>0.74708952945388807</v>
      </c>
      <c r="B29">
        <v>1</v>
      </c>
      <c r="C29">
        <v>0.1055685763160454</v>
      </c>
      <c r="D29">
        <v>6.852735267014462E-2</v>
      </c>
      <c r="E29">
        <v>4.3679772243381237E-2</v>
      </c>
      <c r="F29">
        <v>0.76604313243640421</v>
      </c>
      <c r="G29">
        <v>1</v>
      </c>
      <c r="H29">
        <v>0.10421615442873716</v>
      </c>
      <c r="I29">
        <v>6.724228516497624E-2</v>
      </c>
      <c r="J29">
        <v>4.4486568723338685E-2</v>
      </c>
      <c r="K29">
        <v>0.85824968640502086</v>
      </c>
      <c r="L29">
        <v>1</v>
      </c>
      <c r="M29">
        <v>0.11135745378404015</v>
      </c>
      <c r="N29">
        <v>6.6378316086858249E-2</v>
      </c>
      <c r="O29">
        <v>4.3661823968134436E-2</v>
      </c>
      <c r="P29">
        <v>0.58740315794876308</v>
      </c>
      <c r="Q29">
        <v>1</v>
      </c>
      <c r="R29">
        <v>8.3107228870544073E-2</v>
      </c>
      <c r="S29">
        <v>6.4801883495851795E-2</v>
      </c>
      <c r="T29">
        <v>4.1384040554809598E-2</v>
      </c>
      <c r="U29">
        <v>0.63203142123817124</v>
      </c>
      <c r="V29">
        <v>1</v>
      </c>
      <c r="W29">
        <v>9.0924185163053742E-2</v>
      </c>
      <c r="X29">
        <v>6.5681332549314436E-2</v>
      </c>
      <c r="Y29">
        <v>4.2409175242014013E-2</v>
      </c>
      <c r="Z29">
        <v>0.65277840975354551</v>
      </c>
      <c r="AA29">
        <v>1</v>
      </c>
      <c r="AB29">
        <v>9.4563313401359123E-2</v>
      </c>
      <c r="AC29">
        <v>6.7114641410489881E-2</v>
      </c>
      <c r="AD29">
        <v>4.4248484533734464E-2</v>
      </c>
      <c r="AE29">
        <v>0.76832763404895987</v>
      </c>
      <c r="AF29">
        <v>1</v>
      </c>
      <c r="AG29">
        <v>0.10546342656851293</v>
      </c>
      <c r="AH29">
        <v>6.8299428314406455E-2</v>
      </c>
      <c r="AI29">
        <v>4.5349081062951137E-2</v>
      </c>
      <c r="AJ29">
        <v>0.71407568248207764</v>
      </c>
      <c r="AK29">
        <v>1</v>
      </c>
      <c r="AL29">
        <v>9.9832958074989528E-2</v>
      </c>
      <c r="AM29">
        <v>6.6868506609299355E-2</v>
      </c>
      <c r="AN29">
        <v>4.3775752253864653E-2</v>
      </c>
      <c r="AO29">
        <v>0.70383436813771361</v>
      </c>
      <c r="AP29">
        <v>1</v>
      </c>
      <c r="AQ29">
        <v>9.9478287612471628E-2</v>
      </c>
      <c r="AR29">
        <v>6.7977176602941489E-2</v>
      </c>
      <c r="AS29">
        <v>4.3692996510400747E-2</v>
      </c>
      <c r="AT29">
        <v>0.65567440523557419</v>
      </c>
      <c r="AU29">
        <v>1</v>
      </c>
      <c r="AV29">
        <v>9.9374096578400906E-2</v>
      </c>
      <c r="AW29">
        <v>6.6752377136120089E-2</v>
      </c>
      <c r="AX29">
        <v>4.4101317042704272E-2</v>
      </c>
      <c r="AY29">
        <v>0.76784936017939076</v>
      </c>
      <c r="AZ29">
        <v>1</v>
      </c>
      <c r="BA29">
        <v>0.10582807740700167</v>
      </c>
      <c r="BB29">
        <v>6.532231682396375E-2</v>
      </c>
      <c r="BC29">
        <v>4.2929186860352429E-2</v>
      </c>
      <c r="BD29">
        <v>0.65447450933294138</v>
      </c>
      <c r="BE29">
        <v>1</v>
      </c>
      <c r="BF29">
        <v>9.4385808007328501E-2</v>
      </c>
      <c r="BG29">
        <v>6.3691882560104038E-2</v>
      </c>
      <c r="BH29">
        <v>4.0929621869349626E-2</v>
      </c>
      <c r="BI29">
        <v>0.67592042740985725</v>
      </c>
      <c r="BJ29">
        <v>1</v>
      </c>
      <c r="BK29">
        <v>9.3836231764511932E-2</v>
      </c>
      <c r="BL29">
        <v>6.4576323362877996E-2</v>
      </c>
      <c r="BM29">
        <v>4.1684064937558836E-2</v>
      </c>
      <c r="BN29">
        <v>0.76511075463415712</v>
      </c>
      <c r="BO29">
        <v>1</v>
      </c>
      <c r="BP29">
        <v>0.10951343846384186</v>
      </c>
      <c r="BQ29">
        <v>6.7136224477095205E-2</v>
      </c>
      <c r="BR29">
        <v>4.3144360179522757E-2</v>
      </c>
    </row>
    <row r="30" spans="1:70" x14ac:dyDescent="0.15">
      <c r="A30">
        <v>0.73417348306649921</v>
      </c>
      <c r="B30">
        <v>1</v>
      </c>
      <c r="C30">
        <v>0.1052063210192424</v>
      </c>
      <c r="D30">
        <v>6.8870100704214315E-2</v>
      </c>
      <c r="E30">
        <v>4.3358920479441919E-2</v>
      </c>
      <c r="F30">
        <v>0.76882063649395915</v>
      </c>
      <c r="G30">
        <v>1</v>
      </c>
      <c r="H30">
        <v>0.10496787637320888</v>
      </c>
      <c r="I30">
        <v>6.7701163770805317E-2</v>
      </c>
      <c r="J30">
        <v>4.3304150332169236E-2</v>
      </c>
      <c r="K30">
        <v>0.84912993501054068</v>
      </c>
      <c r="L30">
        <v>1</v>
      </c>
      <c r="M30">
        <v>0.1121868022681303</v>
      </c>
      <c r="N30">
        <v>6.5261143848171263E-2</v>
      </c>
      <c r="O30">
        <v>4.4354158466143559E-2</v>
      </c>
      <c r="P30">
        <v>0.58147959379467407</v>
      </c>
      <c r="Q30">
        <v>1</v>
      </c>
      <c r="R30">
        <v>8.4710288456327068E-2</v>
      </c>
      <c r="S30">
        <v>6.3959875502818439E-2</v>
      </c>
      <c r="T30">
        <v>4.21122283042469E-2</v>
      </c>
      <c r="U30">
        <v>0.61877118935168851</v>
      </c>
      <c r="V30">
        <v>1</v>
      </c>
      <c r="W30">
        <v>8.6980209905216016E-2</v>
      </c>
      <c r="X30">
        <v>6.5322252276961257E-2</v>
      </c>
      <c r="Y30">
        <v>4.1979281986038335E-2</v>
      </c>
      <c r="Z30">
        <v>0.65685357810992206</v>
      </c>
      <c r="AA30">
        <v>1</v>
      </c>
      <c r="AB30">
        <v>0.10017729392167309</v>
      </c>
      <c r="AC30">
        <v>6.893306420173026E-2</v>
      </c>
      <c r="AD30">
        <v>4.4556140617817187E-2</v>
      </c>
      <c r="AE30">
        <v>0.77005704035723221</v>
      </c>
      <c r="AF30">
        <v>1</v>
      </c>
      <c r="AG30">
        <v>0.1058121129704571</v>
      </c>
      <c r="AH30">
        <v>6.8012372905403989E-2</v>
      </c>
      <c r="AI30">
        <v>4.4815366776723299E-2</v>
      </c>
      <c r="AJ30">
        <v>0.70003444065897291</v>
      </c>
      <c r="AK30">
        <v>1</v>
      </c>
      <c r="AL30">
        <v>9.8317274467200552E-2</v>
      </c>
      <c r="AM30">
        <v>6.8650336953042193E-2</v>
      </c>
      <c r="AN30">
        <v>4.4288757332484836E-2</v>
      </c>
      <c r="AO30">
        <v>0.6887412076738777</v>
      </c>
      <c r="AP30">
        <v>1</v>
      </c>
      <c r="AQ30">
        <v>0.10169633759052163</v>
      </c>
      <c r="AR30">
        <v>6.7853115361276972E-2</v>
      </c>
      <c r="AS30">
        <v>4.4933000148743775E-2</v>
      </c>
      <c r="AT30">
        <v>0.65462238458326039</v>
      </c>
      <c r="AU30">
        <v>1</v>
      </c>
      <c r="AV30">
        <v>9.6122554783325681E-2</v>
      </c>
      <c r="AW30">
        <v>6.7339989369102585E-2</v>
      </c>
      <c r="AX30">
        <v>4.3278002051250042E-2</v>
      </c>
      <c r="AY30">
        <v>0.75846737126232455</v>
      </c>
      <c r="AZ30">
        <v>1</v>
      </c>
      <c r="BA30">
        <v>0.10583787330304846</v>
      </c>
      <c r="BB30">
        <v>6.607789666347956E-2</v>
      </c>
      <c r="BC30">
        <v>4.1735166202000157E-2</v>
      </c>
      <c r="BD30">
        <v>0.65413062947695688</v>
      </c>
      <c r="BE30">
        <v>1</v>
      </c>
      <c r="BF30">
        <v>0.10040789565729119</v>
      </c>
      <c r="BG30">
        <v>6.4104713163977978E-2</v>
      </c>
      <c r="BH30">
        <v>4.0513704558565365E-2</v>
      </c>
      <c r="BI30">
        <v>0.66463992149418127</v>
      </c>
      <c r="BJ30">
        <v>1</v>
      </c>
      <c r="BK30">
        <v>0.10030869042472927</v>
      </c>
      <c r="BL30">
        <v>6.5302325856843438E-2</v>
      </c>
      <c r="BM30">
        <v>4.1815857600848425E-2</v>
      </c>
      <c r="BN30">
        <v>0.74920938909549373</v>
      </c>
      <c r="BO30">
        <v>1</v>
      </c>
      <c r="BP30">
        <v>0.10260323836624054</v>
      </c>
      <c r="BQ30">
        <v>6.6056717806786583E-2</v>
      </c>
      <c r="BR30">
        <v>4.4005845294027797E-2</v>
      </c>
    </row>
    <row r="31" spans="1:70" x14ac:dyDescent="0.15">
      <c r="A31">
        <v>0.74301742130719994</v>
      </c>
      <c r="B31">
        <v>1</v>
      </c>
      <c r="C31">
        <v>0.10507940730982161</v>
      </c>
      <c r="D31">
        <v>6.7381852522734639E-2</v>
      </c>
      <c r="E31">
        <v>4.4116881459550464E-2</v>
      </c>
      <c r="F31">
        <v>0.78085240691435387</v>
      </c>
      <c r="G31">
        <v>1</v>
      </c>
      <c r="H31">
        <v>0.10583848255598079</v>
      </c>
      <c r="I31">
        <v>6.7706531866924657E-2</v>
      </c>
      <c r="J31">
        <v>4.3912846602203903E-2</v>
      </c>
      <c r="K31">
        <v>0.86001125359343955</v>
      </c>
      <c r="L31">
        <v>1</v>
      </c>
      <c r="M31">
        <v>0.10823981016317874</v>
      </c>
      <c r="N31">
        <v>6.5258664829077218E-2</v>
      </c>
      <c r="O31">
        <v>4.4784586161859492E-2</v>
      </c>
      <c r="P31">
        <v>0.58631414536765036</v>
      </c>
      <c r="Q31">
        <v>1</v>
      </c>
      <c r="R31">
        <v>8.0977122299294491E-2</v>
      </c>
      <c r="S31">
        <v>6.4642115201978004E-2</v>
      </c>
      <c r="T31">
        <v>4.1390404783716528E-2</v>
      </c>
      <c r="U31">
        <v>0.60908378184897449</v>
      </c>
      <c r="V31">
        <v>1</v>
      </c>
      <c r="W31">
        <v>8.8819764260177292E-2</v>
      </c>
      <c r="X31">
        <v>6.6347470118177015E-2</v>
      </c>
      <c r="Y31">
        <v>4.2800200032965814E-2</v>
      </c>
      <c r="Z31">
        <v>0.64231254126637527</v>
      </c>
      <c r="AA31">
        <v>1</v>
      </c>
      <c r="AB31">
        <v>0.10082370267112055</v>
      </c>
      <c r="AC31">
        <v>6.9796723448782461E-2</v>
      </c>
      <c r="AD31">
        <v>4.5354299572473111E-2</v>
      </c>
      <c r="AE31">
        <v>0.77070385626350602</v>
      </c>
      <c r="AF31">
        <v>1</v>
      </c>
      <c r="AG31">
        <v>0.11283265135813074</v>
      </c>
      <c r="AH31">
        <v>6.6887901456043411E-2</v>
      </c>
      <c r="AI31">
        <v>4.4282251024431535E-2</v>
      </c>
      <c r="AJ31">
        <v>0.69843948674768874</v>
      </c>
      <c r="AK31">
        <v>1</v>
      </c>
      <c r="AL31">
        <v>9.8939799564781286E-2</v>
      </c>
      <c r="AM31">
        <v>6.6943295634643074E-2</v>
      </c>
      <c r="AN31">
        <v>4.4776890068105667E-2</v>
      </c>
      <c r="AO31">
        <v>0.6795997552912052</v>
      </c>
      <c r="AP31">
        <v>1</v>
      </c>
      <c r="AQ31">
        <v>0.10201725496097959</v>
      </c>
      <c r="AR31">
        <v>6.7872220044415316E-2</v>
      </c>
      <c r="AS31">
        <v>4.5659066116204926E-2</v>
      </c>
      <c r="AT31">
        <v>0.6561022351894481</v>
      </c>
      <c r="AU31">
        <v>1</v>
      </c>
      <c r="AV31">
        <v>0.10241053748447367</v>
      </c>
      <c r="AW31">
        <v>6.6509085169683041E-2</v>
      </c>
      <c r="AX31">
        <v>4.3861797234722381E-2</v>
      </c>
      <c r="AY31">
        <v>0.76445316791452678</v>
      </c>
      <c r="AZ31">
        <v>1</v>
      </c>
      <c r="BA31">
        <v>0.10377321679365714</v>
      </c>
      <c r="BB31">
        <v>6.6776376742167229E-2</v>
      </c>
      <c r="BC31">
        <v>4.2802167471073377E-2</v>
      </c>
      <c r="BD31">
        <v>0.65778873237911506</v>
      </c>
      <c r="BE31">
        <v>1</v>
      </c>
      <c r="BF31">
        <v>9.6677832188456242E-2</v>
      </c>
      <c r="BG31">
        <v>6.3899807780528325E-2</v>
      </c>
      <c r="BH31">
        <v>4.1230830743097961E-2</v>
      </c>
      <c r="BI31">
        <v>0.66417237734238521</v>
      </c>
      <c r="BJ31">
        <v>1</v>
      </c>
      <c r="BK31">
        <v>9.8083464535453496E-2</v>
      </c>
      <c r="BL31">
        <v>6.4320250897348066E-2</v>
      </c>
      <c r="BM31">
        <v>4.146741940493566E-2</v>
      </c>
      <c r="BN31">
        <v>0.7507760059092814</v>
      </c>
      <c r="BO31">
        <v>1</v>
      </c>
      <c r="BP31">
        <v>0.10753710613317922</v>
      </c>
      <c r="BQ31">
        <v>6.5302347573991018E-2</v>
      </c>
      <c r="BR31">
        <v>4.3580573521870135E-2</v>
      </c>
    </row>
    <row r="32" spans="1:70" x14ac:dyDescent="0.15">
      <c r="A32">
        <v>0.7472136532456054</v>
      </c>
      <c r="B32">
        <v>1</v>
      </c>
      <c r="C32">
        <v>0.10633461886679517</v>
      </c>
      <c r="D32">
        <v>6.9705140254959483E-2</v>
      </c>
      <c r="E32">
        <v>4.3951079824755504E-2</v>
      </c>
      <c r="F32">
        <v>0.75342328390428281</v>
      </c>
      <c r="G32">
        <v>1</v>
      </c>
      <c r="H32">
        <v>0.10597510839112641</v>
      </c>
      <c r="I32">
        <v>6.7841871328824091E-2</v>
      </c>
      <c r="J32">
        <v>4.3613060707562552E-2</v>
      </c>
      <c r="K32">
        <v>0.85269658596823383</v>
      </c>
      <c r="L32">
        <v>1</v>
      </c>
      <c r="M32">
        <v>0.11286435143309764</v>
      </c>
      <c r="N32">
        <v>6.7147178369920124E-2</v>
      </c>
      <c r="O32">
        <v>4.5170759253033745E-2</v>
      </c>
      <c r="P32">
        <v>0.59199888894707176</v>
      </c>
      <c r="Q32">
        <v>1</v>
      </c>
      <c r="R32">
        <v>8.2493640371457871E-2</v>
      </c>
      <c r="S32">
        <v>6.5523278126260173E-2</v>
      </c>
      <c r="T32">
        <v>4.1813971792850887E-2</v>
      </c>
      <c r="U32">
        <v>0.62662595466616955</v>
      </c>
      <c r="V32">
        <v>1</v>
      </c>
      <c r="W32">
        <v>9.2740746449330849E-2</v>
      </c>
      <c r="X32">
        <v>6.601709416468371E-2</v>
      </c>
      <c r="Y32">
        <v>4.1718044831285127E-2</v>
      </c>
      <c r="Z32">
        <v>0.648407995283526</v>
      </c>
      <c r="AA32">
        <v>1</v>
      </c>
      <c r="AB32">
        <v>0.10017178257751883</v>
      </c>
      <c r="AC32">
        <v>6.8929381515779931E-2</v>
      </c>
      <c r="AD32">
        <v>4.5431098311280539E-2</v>
      </c>
      <c r="AE32">
        <v>0.76069020728290238</v>
      </c>
      <c r="AF32">
        <v>1</v>
      </c>
      <c r="AG32">
        <v>0.10822667426055578</v>
      </c>
      <c r="AH32">
        <v>6.8204917169464516E-2</v>
      </c>
      <c r="AI32">
        <v>4.4354131356119007E-2</v>
      </c>
      <c r="AJ32">
        <v>0.70320991791778598</v>
      </c>
      <c r="AK32">
        <v>1</v>
      </c>
      <c r="AL32">
        <v>9.707127483226749E-2</v>
      </c>
      <c r="AM32">
        <v>6.7883859796195559E-2</v>
      </c>
      <c r="AN32">
        <v>4.5007611518017167E-2</v>
      </c>
      <c r="AO32">
        <v>0.68945400288754866</v>
      </c>
      <c r="AP32">
        <v>1</v>
      </c>
      <c r="AQ32">
        <v>0.10223749956500484</v>
      </c>
      <c r="AR32">
        <v>6.8681539709307557E-2</v>
      </c>
      <c r="AS32">
        <v>4.4117470887383624E-2</v>
      </c>
      <c r="AT32">
        <v>0.66409764788154435</v>
      </c>
      <c r="AU32">
        <v>1</v>
      </c>
      <c r="AV32">
        <v>0.10364227336471697</v>
      </c>
      <c r="AW32">
        <v>6.8712858089644557E-2</v>
      </c>
      <c r="AX32">
        <v>4.3782430469252204E-2</v>
      </c>
      <c r="AY32">
        <v>0.76374652094434625</v>
      </c>
      <c r="AZ32">
        <v>1</v>
      </c>
      <c r="BA32">
        <v>0.10822154690236611</v>
      </c>
      <c r="BB32">
        <v>6.5606123550263601E-2</v>
      </c>
      <c r="BC32">
        <v>4.3038418772223488E-2</v>
      </c>
      <c r="BD32">
        <v>0.65153876940774014</v>
      </c>
      <c r="BE32">
        <v>1</v>
      </c>
      <c r="BF32">
        <v>8.9973310262079526E-2</v>
      </c>
      <c r="BG32">
        <v>6.3337465647130553E-2</v>
      </c>
      <c r="BH32">
        <v>4.1459301320837291E-2</v>
      </c>
      <c r="BI32">
        <v>0.65959240793595231</v>
      </c>
      <c r="BJ32">
        <v>1</v>
      </c>
      <c r="BK32">
        <v>9.8826482670394858E-2</v>
      </c>
      <c r="BL32">
        <v>6.5374398194711025E-2</v>
      </c>
      <c r="BM32">
        <v>4.2024573336931291E-2</v>
      </c>
      <c r="BN32">
        <v>0.75101818723810687</v>
      </c>
      <c r="BO32">
        <v>1</v>
      </c>
      <c r="BP32">
        <v>0.10301946546552723</v>
      </c>
      <c r="BQ32">
        <v>6.529131570912762E-2</v>
      </c>
      <c r="BR32">
        <v>4.3457967907706514E-2</v>
      </c>
    </row>
    <row r="33" spans="1:70" x14ac:dyDescent="0.15">
      <c r="A33">
        <v>0.74304836357986292</v>
      </c>
      <c r="B33">
        <v>1</v>
      </c>
      <c r="C33">
        <v>0.10483704943592052</v>
      </c>
      <c r="D33">
        <v>6.9094600451009555E-2</v>
      </c>
      <c r="E33">
        <v>4.4504138564068499E-2</v>
      </c>
      <c r="F33">
        <v>0.76729124959435324</v>
      </c>
      <c r="G33">
        <v>1</v>
      </c>
      <c r="H33">
        <v>0.10361089825662294</v>
      </c>
      <c r="I33">
        <v>6.7997396479881816E-2</v>
      </c>
      <c r="J33">
        <v>4.37865835626449E-2</v>
      </c>
      <c r="K33">
        <v>0.85281426994604659</v>
      </c>
      <c r="L33">
        <v>1</v>
      </c>
      <c r="M33">
        <v>0.1116981871997984</v>
      </c>
      <c r="N33">
        <v>6.5981749730671516E-2</v>
      </c>
      <c r="O33">
        <v>4.3095089832477611E-2</v>
      </c>
      <c r="P33">
        <v>0.59916684322586344</v>
      </c>
      <c r="Q33">
        <v>1</v>
      </c>
      <c r="R33">
        <v>8.4605983025748566E-2</v>
      </c>
      <c r="S33">
        <v>6.5222066661196162E-2</v>
      </c>
      <c r="T33">
        <v>4.1174168247851139E-2</v>
      </c>
      <c r="U33">
        <v>0.61011277928626617</v>
      </c>
      <c r="V33">
        <v>1</v>
      </c>
      <c r="W33">
        <v>8.9261655810625146E-2</v>
      </c>
      <c r="X33">
        <v>6.6065387455584934E-2</v>
      </c>
      <c r="Y33">
        <v>4.3485955271877916E-2</v>
      </c>
      <c r="Z33">
        <v>0.65592917563780784</v>
      </c>
      <c r="AA33">
        <v>1</v>
      </c>
      <c r="AB33">
        <v>0.1045485179026583</v>
      </c>
      <c r="AC33">
        <v>6.8888455688936687E-2</v>
      </c>
      <c r="AD33">
        <v>4.4686661243671551E-2</v>
      </c>
      <c r="AE33">
        <v>0.76912720171672511</v>
      </c>
      <c r="AF33">
        <v>1</v>
      </c>
      <c r="AG33">
        <v>0.10576315566821623</v>
      </c>
      <c r="AH33">
        <v>7.0186868380887404E-2</v>
      </c>
      <c r="AI33">
        <v>4.4208605286983081E-2</v>
      </c>
      <c r="AJ33">
        <v>0.71215657722555081</v>
      </c>
      <c r="AK33">
        <v>1</v>
      </c>
      <c r="AL33">
        <v>0.10124925219482116</v>
      </c>
      <c r="AM33">
        <v>6.7680729280680668E-2</v>
      </c>
      <c r="AN33">
        <v>4.4487220815424812E-2</v>
      </c>
      <c r="AO33">
        <v>0.68459820452391873</v>
      </c>
      <c r="AP33">
        <v>1</v>
      </c>
      <c r="AQ33">
        <v>0.10302381562945712</v>
      </c>
      <c r="AR33">
        <v>6.8038957662051647E-2</v>
      </c>
      <c r="AS33">
        <v>4.4478135423551779E-2</v>
      </c>
      <c r="AT33">
        <v>0.65936903387324408</v>
      </c>
      <c r="AU33">
        <v>1</v>
      </c>
      <c r="AV33">
        <v>9.6777305913305134E-2</v>
      </c>
      <c r="AW33">
        <v>6.9174070675189672E-2</v>
      </c>
      <c r="AX33">
        <v>4.3534243486665944E-2</v>
      </c>
      <c r="AY33">
        <v>0.75451548940084634</v>
      </c>
      <c r="AZ33">
        <v>1</v>
      </c>
      <c r="BA33">
        <v>0.10717229621959665</v>
      </c>
      <c r="BB33">
        <v>6.6523205865744159E-2</v>
      </c>
      <c r="BC33">
        <v>4.3981252199736282E-2</v>
      </c>
      <c r="BD33">
        <v>0.65456088915750887</v>
      </c>
      <c r="BE33">
        <v>1</v>
      </c>
      <c r="BF33">
        <v>9.8797193986886384E-2</v>
      </c>
      <c r="BG33">
        <v>6.4105469608221888E-2</v>
      </c>
      <c r="BH33">
        <v>4.1792215839345719E-2</v>
      </c>
      <c r="BI33">
        <v>0.65703556340338098</v>
      </c>
      <c r="BJ33">
        <v>1</v>
      </c>
      <c r="BK33">
        <v>9.3992039129222812E-2</v>
      </c>
      <c r="BL33">
        <v>6.5008505244126991E-2</v>
      </c>
      <c r="BM33">
        <v>4.1326587599907268E-2</v>
      </c>
      <c r="BN33">
        <v>0.76377341883585848</v>
      </c>
      <c r="BO33">
        <v>1</v>
      </c>
      <c r="BP33">
        <v>0.10266918165619052</v>
      </c>
      <c r="BQ33">
        <v>6.51080407039306E-2</v>
      </c>
      <c r="BR33">
        <v>4.3149949592259783E-2</v>
      </c>
    </row>
    <row r="34" spans="1:70" x14ac:dyDescent="0.15">
      <c r="A34">
        <v>0.74543958051777848</v>
      </c>
      <c r="B34">
        <v>1</v>
      </c>
      <c r="C34">
        <v>0.10837218984789986</v>
      </c>
      <c r="D34">
        <v>6.8455714315938082E-2</v>
      </c>
      <c r="E34">
        <v>4.4187894383245066E-2</v>
      </c>
      <c r="F34">
        <v>0.77456606606239964</v>
      </c>
      <c r="G34">
        <v>1</v>
      </c>
      <c r="H34">
        <v>0.10458919023328064</v>
      </c>
      <c r="I34">
        <v>6.7160105895006747E-2</v>
      </c>
      <c r="J34">
        <v>4.354575257988505E-2</v>
      </c>
      <c r="K34">
        <v>0.85386424819957785</v>
      </c>
      <c r="L34">
        <v>1</v>
      </c>
      <c r="M34">
        <v>0.11312517130030107</v>
      </c>
      <c r="N34">
        <v>6.6655651759060866E-2</v>
      </c>
      <c r="O34">
        <v>4.3781631781900657E-2</v>
      </c>
      <c r="P34">
        <v>0.59730678908621537</v>
      </c>
      <c r="Q34">
        <v>1</v>
      </c>
      <c r="R34">
        <v>8.3959364071903839E-2</v>
      </c>
      <c r="S34">
        <v>6.4002194029555162E-2</v>
      </c>
      <c r="T34">
        <v>4.2829119702023466E-2</v>
      </c>
      <c r="U34">
        <v>0.61935199797031493</v>
      </c>
      <c r="V34">
        <v>1</v>
      </c>
      <c r="W34">
        <v>8.7927357635921244E-2</v>
      </c>
      <c r="X34">
        <v>6.5456092573438651E-2</v>
      </c>
      <c r="Y34">
        <v>4.0871363525965244E-2</v>
      </c>
      <c r="Z34">
        <v>0.64428168956928444</v>
      </c>
      <c r="AA34">
        <v>1</v>
      </c>
      <c r="AB34">
        <v>9.8427956685753118E-2</v>
      </c>
      <c r="AC34">
        <v>6.9184472963132571E-2</v>
      </c>
      <c r="AD34">
        <v>4.3964021228538964E-2</v>
      </c>
      <c r="AE34">
        <v>0.77572670784758113</v>
      </c>
      <c r="AF34">
        <v>1</v>
      </c>
      <c r="AG34">
        <v>0.11080173684707049</v>
      </c>
      <c r="AH34">
        <v>6.7644237855159939E-2</v>
      </c>
      <c r="AI34">
        <v>4.5513702060278827E-2</v>
      </c>
      <c r="AJ34">
        <v>0.70849512747834342</v>
      </c>
      <c r="AK34">
        <v>1</v>
      </c>
      <c r="AL34">
        <v>0.10115375505816009</v>
      </c>
      <c r="AM34">
        <v>6.8011034437350779E-2</v>
      </c>
      <c r="AN34">
        <v>4.4908205755209041E-2</v>
      </c>
      <c r="AO34">
        <v>0.69396658877769513</v>
      </c>
      <c r="AP34">
        <v>1</v>
      </c>
      <c r="AQ34">
        <v>0.10750975925772256</v>
      </c>
      <c r="AR34">
        <v>6.8921250054999786E-2</v>
      </c>
      <c r="AS34">
        <v>4.4016319104678639E-2</v>
      </c>
      <c r="AT34">
        <v>0.66674945726737889</v>
      </c>
      <c r="AU34">
        <v>1</v>
      </c>
      <c r="AV34">
        <v>0.10484999292713115</v>
      </c>
      <c r="AW34">
        <v>6.6419867764003812E-2</v>
      </c>
      <c r="AX34">
        <v>4.4032837095998895E-2</v>
      </c>
      <c r="AY34">
        <v>0.76452305463056713</v>
      </c>
      <c r="AZ34">
        <v>1</v>
      </c>
      <c r="BA34">
        <v>0.10856995673137564</v>
      </c>
      <c r="BB34">
        <v>6.5975981868826652E-2</v>
      </c>
      <c r="BC34">
        <v>4.3761677898006557E-2</v>
      </c>
      <c r="BD34">
        <v>0.64100196611220461</v>
      </c>
      <c r="BE34">
        <v>1</v>
      </c>
      <c r="BF34">
        <v>9.4413886346056811E-2</v>
      </c>
      <c r="BG34">
        <v>6.3031343475163107E-2</v>
      </c>
      <c r="BH34">
        <v>3.9978912365754196E-2</v>
      </c>
      <c r="BI34">
        <v>0.65753005846467794</v>
      </c>
      <c r="BJ34">
        <v>1</v>
      </c>
      <c r="BK34">
        <v>9.3761204796541348E-2</v>
      </c>
      <c r="BL34">
        <v>6.4673634621456436E-2</v>
      </c>
      <c r="BM34">
        <v>4.152665126442507E-2</v>
      </c>
      <c r="BN34">
        <v>0.74741776404862359</v>
      </c>
      <c r="BO34">
        <v>1</v>
      </c>
      <c r="BP34">
        <v>0.1017237426596256</v>
      </c>
      <c r="BQ34">
        <v>6.5496662447670953E-2</v>
      </c>
      <c r="BR34">
        <v>4.3811564594823944E-2</v>
      </c>
    </row>
    <row r="35" spans="1:70" x14ac:dyDescent="0.15">
      <c r="A35">
        <v>0.74915015102530758</v>
      </c>
      <c r="B35">
        <v>1</v>
      </c>
      <c r="C35">
        <v>0.10724060056024295</v>
      </c>
      <c r="D35">
        <v>6.8077074344605248E-2</v>
      </c>
      <c r="E35">
        <v>4.4263529736551829E-2</v>
      </c>
      <c r="F35">
        <v>0.7661760200275558</v>
      </c>
      <c r="G35">
        <v>1</v>
      </c>
      <c r="H35">
        <v>0.10786665402585403</v>
      </c>
      <c r="I35">
        <v>6.7793952311647671E-2</v>
      </c>
      <c r="J35">
        <v>4.2876811381628903E-2</v>
      </c>
      <c r="K35">
        <v>0.84788127733078678</v>
      </c>
      <c r="L35">
        <v>1</v>
      </c>
      <c r="M35">
        <v>0.11163775175438077</v>
      </c>
      <c r="N35">
        <v>6.6538688220532133E-2</v>
      </c>
      <c r="O35">
        <v>4.3821774652172463E-2</v>
      </c>
      <c r="P35">
        <v>0.60000452693466499</v>
      </c>
      <c r="Q35">
        <v>1</v>
      </c>
      <c r="R35">
        <v>8.3087420344898327E-2</v>
      </c>
      <c r="S35">
        <v>6.4098818257878262E-2</v>
      </c>
      <c r="T35">
        <v>4.0699015686485256E-2</v>
      </c>
      <c r="U35">
        <v>0.62614109003650464</v>
      </c>
      <c r="V35">
        <v>1</v>
      </c>
      <c r="W35">
        <v>8.6786254361048976E-2</v>
      </c>
      <c r="X35">
        <v>6.5151515536193624E-2</v>
      </c>
      <c r="Y35">
        <v>4.1520592139495063E-2</v>
      </c>
      <c r="Z35">
        <v>0.65954713688814914</v>
      </c>
      <c r="AA35">
        <v>1</v>
      </c>
      <c r="AB35">
        <v>0.10212552292148501</v>
      </c>
      <c r="AC35">
        <v>6.79217263122813E-2</v>
      </c>
      <c r="AD35">
        <v>4.408268972691471E-2</v>
      </c>
      <c r="AE35">
        <v>0.76547739315586727</v>
      </c>
      <c r="AF35">
        <v>1</v>
      </c>
      <c r="AG35">
        <v>0.1077234156944414</v>
      </c>
      <c r="AH35">
        <v>6.9785949022627664E-2</v>
      </c>
      <c r="AI35">
        <v>4.5133983917353702E-2</v>
      </c>
      <c r="AJ35">
        <v>0.70203110770245247</v>
      </c>
      <c r="AK35">
        <v>1</v>
      </c>
      <c r="AL35">
        <v>9.7221435684998553E-2</v>
      </c>
      <c r="AM35">
        <v>6.7725983102488937E-2</v>
      </c>
      <c r="AN35">
        <v>4.4063144112604889E-2</v>
      </c>
      <c r="AO35">
        <v>0.68432271139482459</v>
      </c>
      <c r="AP35">
        <v>1</v>
      </c>
      <c r="AQ35">
        <v>9.8390758651468291E-2</v>
      </c>
      <c r="AR35">
        <v>6.8768828651733144E-2</v>
      </c>
      <c r="AS35">
        <v>4.379226699271456E-2</v>
      </c>
      <c r="AT35">
        <v>0.66092123953529536</v>
      </c>
      <c r="AU35">
        <v>1</v>
      </c>
      <c r="AV35">
        <v>0.10225441781117606</v>
      </c>
      <c r="AW35">
        <v>6.9380331758186461E-2</v>
      </c>
      <c r="AX35">
        <v>4.3906991612541205E-2</v>
      </c>
      <c r="AY35">
        <v>0.75978307573096249</v>
      </c>
      <c r="AZ35">
        <v>1</v>
      </c>
      <c r="BA35">
        <v>0.1044264932918736</v>
      </c>
      <c r="BB35">
        <v>6.5418794003305483E-2</v>
      </c>
      <c r="BC35">
        <v>4.3577130989673973E-2</v>
      </c>
      <c r="BD35">
        <v>0.65298429280741788</v>
      </c>
      <c r="BE35">
        <v>1</v>
      </c>
      <c r="BF35">
        <v>9.352187621604241E-2</v>
      </c>
      <c r="BG35">
        <v>6.3686902938639545E-2</v>
      </c>
      <c r="BH35">
        <v>4.1208038924456694E-2</v>
      </c>
      <c r="BI35">
        <v>0.65311288213767471</v>
      </c>
      <c r="BJ35">
        <v>1</v>
      </c>
      <c r="BK35">
        <v>9.4577973466550821E-2</v>
      </c>
      <c r="BL35">
        <v>6.3457447139638731E-2</v>
      </c>
      <c r="BM35">
        <v>4.1924758836317112E-2</v>
      </c>
      <c r="BN35">
        <v>0.76379430599457843</v>
      </c>
      <c r="BO35">
        <v>1</v>
      </c>
      <c r="BP35">
        <v>0.10246362548017357</v>
      </c>
      <c r="BQ35">
        <v>6.5751654748359395E-2</v>
      </c>
      <c r="BR35">
        <v>4.2969819034113545E-2</v>
      </c>
    </row>
    <row r="36" spans="1:70" x14ac:dyDescent="0.15">
      <c r="A36">
        <v>0.72350610575630347</v>
      </c>
      <c r="B36">
        <v>1</v>
      </c>
      <c r="C36">
        <v>0.10028073496879755</v>
      </c>
      <c r="D36">
        <v>6.8281236878584214E-2</v>
      </c>
      <c r="E36">
        <v>4.4281856830063568E-2</v>
      </c>
      <c r="F36">
        <v>0.77267522852162873</v>
      </c>
      <c r="G36">
        <v>1</v>
      </c>
      <c r="H36">
        <v>0.10448327178995721</v>
      </c>
      <c r="I36">
        <v>6.837235030058611E-2</v>
      </c>
      <c r="J36">
        <v>4.3245901181274339E-2</v>
      </c>
      <c r="K36">
        <v>0.86252247645270053</v>
      </c>
      <c r="L36">
        <v>1</v>
      </c>
      <c r="M36">
        <v>0.11050204879886556</v>
      </c>
      <c r="N36">
        <v>6.6432178551741772E-2</v>
      </c>
      <c r="O36">
        <v>4.3725026404808826E-2</v>
      </c>
      <c r="P36">
        <v>0.61462520784383534</v>
      </c>
      <c r="Q36">
        <v>1</v>
      </c>
      <c r="R36">
        <v>8.6024777824446508E-2</v>
      </c>
      <c r="S36">
        <v>6.4158119886310927E-2</v>
      </c>
      <c r="T36">
        <v>4.1123151615310043E-2</v>
      </c>
      <c r="U36">
        <v>0.61626061343246141</v>
      </c>
      <c r="V36">
        <v>1</v>
      </c>
      <c r="W36">
        <v>9.0302671787840183E-2</v>
      </c>
      <c r="X36">
        <v>6.5998138008088542E-2</v>
      </c>
      <c r="Y36">
        <v>4.2602710848873383E-2</v>
      </c>
      <c r="Z36">
        <v>0.64509644192437599</v>
      </c>
      <c r="AA36">
        <v>1</v>
      </c>
      <c r="AB36">
        <v>9.8115510306815257E-2</v>
      </c>
      <c r="AC36">
        <v>6.8551931433574131E-2</v>
      </c>
      <c r="AD36">
        <v>4.6394132475183161E-2</v>
      </c>
      <c r="AE36">
        <v>0.76342114165864638</v>
      </c>
      <c r="AF36">
        <v>1</v>
      </c>
      <c r="AG36">
        <v>0.11335728562958282</v>
      </c>
      <c r="AH36">
        <v>6.9712626891490645E-2</v>
      </c>
      <c r="AI36">
        <v>4.4044004578260944E-2</v>
      </c>
      <c r="AJ36">
        <v>0.69697266914885103</v>
      </c>
      <c r="AK36">
        <v>1</v>
      </c>
      <c r="AL36">
        <v>0.10067263408048126</v>
      </c>
      <c r="AM36">
        <v>6.719373785390384E-2</v>
      </c>
      <c r="AN36">
        <v>4.4991520277962431E-2</v>
      </c>
      <c r="AO36">
        <v>0.69188159605814359</v>
      </c>
      <c r="AP36">
        <v>1</v>
      </c>
      <c r="AQ36">
        <v>0.10302125848977843</v>
      </c>
      <c r="AR36">
        <v>6.8691881966623181E-2</v>
      </c>
      <c r="AS36">
        <v>4.3823892669653988E-2</v>
      </c>
      <c r="AT36">
        <v>0.64907882955196683</v>
      </c>
      <c r="AU36">
        <v>1</v>
      </c>
      <c r="AV36">
        <v>9.4079166436284847E-2</v>
      </c>
      <c r="AW36">
        <v>6.6020656155105967E-2</v>
      </c>
      <c r="AX36">
        <v>4.3316800349854606E-2</v>
      </c>
      <c r="AY36">
        <v>0.77401480192192651</v>
      </c>
      <c r="AZ36">
        <v>1</v>
      </c>
      <c r="BA36">
        <v>0.10653934354681116</v>
      </c>
      <c r="BB36">
        <v>6.5604007672936476E-2</v>
      </c>
      <c r="BC36">
        <v>4.3140773972608223E-2</v>
      </c>
      <c r="BD36">
        <v>0.65512496569958578</v>
      </c>
      <c r="BE36">
        <v>1</v>
      </c>
      <c r="BF36">
        <v>9.3298083665523293E-2</v>
      </c>
      <c r="BG36">
        <v>6.3395424131571357E-2</v>
      </c>
      <c r="BH36">
        <v>4.0994471594977058E-2</v>
      </c>
      <c r="BI36">
        <v>0.66517770881470162</v>
      </c>
      <c r="BJ36">
        <v>1</v>
      </c>
      <c r="BK36">
        <v>9.5082053168742353E-2</v>
      </c>
      <c r="BL36">
        <v>6.4157208573315708E-2</v>
      </c>
      <c r="BM36">
        <v>4.1524761053775373E-2</v>
      </c>
      <c r="BN36">
        <v>0.7581843557800636</v>
      </c>
      <c r="BO36">
        <v>1</v>
      </c>
      <c r="BP36">
        <v>0.10324900334779478</v>
      </c>
      <c r="BQ36">
        <v>6.459627798308154E-2</v>
      </c>
      <c r="BR36">
        <v>4.3012687509360888E-2</v>
      </c>
    </row>
    <row r="37" spans="1:70" x14ac:dyDescent="0.15">
      <c r="A37">
        <v>0.7564270146039882</v>
      </c>
      <c r="B37">
        <v>1</v>
      </c>
      <c r="C37">
        <v>0.10096138980060462</v>
      </c>
      <c r="D37">
        <v>6.824752574225916E-2</v>
      </c>
      <c r="E37">
        <v>4.3317262306358816E-2</v>
      </c>
      <c r="F37">
        <v>0.76446942387550043</v>
      </c>
      <c r="G37">
        <v>1</v>
      </c>
      <c r="H37">
        <v>0.10459589123957642</v>
      </c>
      <c r="I37">
        <v>6.7517317212306027E-2</v>
      </c>
      <c r="J37">
        <v>4.3879409632883309E-2</v>
      </c>
      <c r="K37">
        <v>0.8553167696330497</v>
      </c>
      <c r="L37">
        <v>1</v>
      </c>
      <c r="M37">
        <v>0.10897643837368345</v>
      </c>
      <c r="N37">
        <v>6.4957287184759585E-2</v>
      </c>
      <c r="O37">
        <v>4.2743818187758936E-2</v>
      </c>
      <c r="P37">
        <v>0.59042514409880897</v>
      </c>
      <c r="Q37">
        <v>1</v>
      </c>
      <c r="R37">
        <v>8.3332848731610551E-2</v>
      </c>
      <c r="S37">
        <v>6.55742008467462E-2</v>
      </c>
      <c r="T37">
        <v>4.1863921502196658E-2</v>
      </c>
      <c r="U37">
        <v>0.61255969366352592</v>
      </c>
      <c r="V37">
        <v>1</v>
      </c>
      <c r="W37">
        <v>8.7005883089202221E-2</v>
      </c>
      <c r="X37">
        <v>6.5308298893668668E-2</v>
      </c>
      <c r="Y37">
        <v>4.2416591197680216E-2</v>
      </c>
      <c r="Z37">
        <v>0.66274480320145979</v>
      </c>
      <c r="AA37">
        <v>1</v>
      </c>
      <c r="AB37">
        <v>9.8672071603368758E-2</v>
      </c>
      <c r="AC37">
        <v>6.9305748684564392E-2</v>
      </c>
      <c r="AD37">
        <v>4.4699419781936478E-2</v>
      </c>
      <c r="AE37">
        <v>0.75604001347406558</v>
      </c>
      <c r="AF37">
        <v>1</v>
      </c>
      <c r="AG37">
        <v>0.10255147264071657</v>
      </c>
      <c r="AH37">
        <v>6.9395615064099136E-2</v>
      </c>
      <c r="AI37">
        <v>4.6006225707993301E-2</v>
      </c>
      <c r="AJ37">
        <v>0.70205991766481113</v>
      </c>
      <c r="AK37">
        <v>1</v>
      </c>
      <c r="AL37">
        <v>0.10474425636662354</v>
      </c>
      <c r="AM37">
        <v>6.8738705507526296E-2</v>
      </c>
      <c r="AN37">
        <v>4.4999965917720486E-2</v>
      </c>
      <c r="AO37">
        <v>0.66766588287794471</v>
      </c>
      <c r="AP37">
        <v>1</v>
      </c>
      <c r="AQ37">
        <v>0.10323739025926916</v>
      </c>
      <c r="AR37">
        <v>6.7961594445192147E-2</v>
      </c>
      <c r="AS37">
        <v>4.3460018184679775E-2</v>
      </c>
      <c r="AT37">
        <v>0.67568246181877456</v>
      </c>
      <c r="AU37">
        <v>1</v>
      </c>
      <c r="AV37">
        <v>9.7240301276007426E-2</v>
      </c>
      <c r="AW37">
        <v>6.7021652042557459E-2</v>
      </c>
      <c r="AX37">
        <v>4.3765254314181476E-2</v>
      </c>
      <c r="AY37">
        <v>0.76111724310794404</v>
      </c>
      <c r="AZ37">
        <v>1</v>
      </c>
      <c r="BA37">
        <v>0.10514912411811747</v>
      </c>
      <c r="BB37">
        <v>6.5445007316161943E-2</v>
      </c>
      <c r="BC37">
        <v>4.2321724592400127E-2</v>
      </c>
      <c r="BD37">
        <v>0.64599338131233575</v>
      </c>
      <c r="BE37">
        <v>1</v>
      </c>
      <c r="BF37">
        <v>9.4975958041851646E-2</v>
      </c>
      <c r="BG37">
        <v>6.2963835069516486E-2</v>
      </c>
      <c r="BH37">
        <v>4.181089304032698E-2</v>
      </c>
      <c r="BI37">
        <v>0.66583368677576071</v>
      </c>
      <c r="BJ37">
        <v>1</v>
      </c>
      <c r="BK37">
        <v>9.5362426156086755E-2</v>
      </c>
      <c r="BL37">
        <v>6.3801701834182253E-2</v>
      </c>
      <c r="BM37">
        <v>4.2109520830052517E-2</v>
      </c>
      <c r="BN37">
        <v>0.74952457205808676</v>
      </c>
      <c r="BO37">
        <v>1</v>
      </c>
      <c r="BP37">
        <v>0.1055723091245768</v>
      </c>
      <c r="BQ37">
        <v>6.623458605971988E-2</v>
      </c>
      <c r="BR37">
        <v>4.2478734754202094E-2</v>
      </c>
    </row>
    <row r="38" spans="1:70" x14ac:dyDescent="0.15">
      <c r="A38">
        <v>0.76288451783266464</v>
      </c>
      <c r="B38">
        <v>1</v>
      </c>
      <c r="C38">
        <v>0.10273348587294429</v>
      </c>
      <c r="D38">
        <v>6.7319845396722339E-2</v>
      </c>
      <c r="E38">
        <v>4.3162140587914122E-2</v>
      </c>
      <c r="F38">
        <v>0.76874828006563178</v>
      </c>
      <c r="G38">
        <v>1</v>
      </c>
      <c r="H38">
        <v>0.10258540379205712</v>
      </c>
      <c r="I38">
        <v>6.6251421280258724E-2</v>
      </c>
      <c r="J38">
        <v>4.3530182491678712E-2</v>
      </c>
      <c r="K38">
        <v>0.85559572657275962</v>
      </c>
      <c r="L38">
        <v>1</v>
      </c>
      <c r="M38">
        <v>0.11266578003965458</v>
      </c>
      <c r="N38">
        <v>6.6018750520976402E-2</v>
      </c>
      <c r="O38">
        <v>4.4527998185780349E-2</v>
      </c>
      <c r="P38">
        <v>0.59496206651466843</v>
      </c>
      <c r="Q38">
        <v>1</v>
      </c>
      <c r="R38">
        <v>8.4254697114816396E-2</v>
      </c>
      <c r="S38">
        <v>6.6243751395473324E-2</v>
      </c>
      <c r="T38">
        <v>4.1905521763834191E-2</v>
      </c>
      <c r="U38">
        <v>0.61915897365530081</v>
      </c>
      <c r="V38">
        <v>1</v>
      </c>
      <c r="W38">
        <v>8.6550222126933876E-2</v>
      </c>
      <c r="X38">
        <v>6.6061487599540461E-2</v>
      </c>
      <c r="Y38">
        <v>4.285646099335249E-2</v>
      </c>
      <c r="Z38">
        <v>0.65296866778941876</v>
      </c>
      <c r="AA38">
        <v>1</v>
      </c>
      <c r="AB38">
        <v>9.8456709258483446E-2</v>
      </c>
      <c r="AC38">
        <v>6.9146158877125691E-2</v>
      </c>
      <c r="AD38">
        <v>4.4491512454092066E-2</v>
      </c>
      <c r="AE38">
        <v>0.76404596458034779</v>
      </c>
      <c r="AF38">
        <v>1</v>
      </c>
      <c r="AG38">
        <v>0.10782888464937593</v>
      </c>
      <c r="AH38">
        <v>6.7237205267108247E-2</v>
      </c>
      <c r="AI38">
        <v>4.5346756297399371E-2</v>
      </c>
      <c r="AJ38">
        <v>0.70209240813830609</v>
      </c>
      <c r="AK38">
        <v>1</v>
      </c>
      <c r="AL38">
        <v>0.10080848948414381</v>
      </c>
      <c r="AM38">
        <v>6.8734308646000913E-2</v>
      </c>
      <c r="AN38">
        <v>4.5282751115567239E-2</v>
      </c>
      <c r="AO38">
        <v>0.69253354162652925</v>
      </c>
      <c r="AP38">
        <v>1</v>
      </c>
      <c r="AQ38">
        <v>9.8987778761638834E-2</v>
      </c>
      <c r="AR38">
        <v>6.9160311093932655E-2</v>
      </c>
      <c r="AS38">
        <v>4.3363297771495862E-2</v>
      </c>
      <c r="AT38">
        <v>0.65330515635597108</v>
      </c>
      <c r="AU38">
        <v>1</v>
      </c>
      <c r="AV38">
        <v>9.8823726809780604E-2</v>
      </c>
      <c r="AW38">
        <v>6.7004332553319085E-2</v>
      </c>
      <c r="AX38">
        <v>4.4052411137431441E-2</v>
      </c>
      <c r="AY38">
        <v>0.76619816426902276</v>
      </c>
      <c r="AZ38">
        <v>1</v>
      </c>
      <c r="BA38">
        <v>0.10408269554722273</v>
      </c>
      <c r="BB38">
        <v>6.59373594315808E-2</v>
      </c>
      <c r="BC38">
        <v>4.1726615906863301E-2</v>
      </c>
      <c r="BD38">
        <v>0.64217423524910699</v>
      </c>
      <c r="BE38">
        <v>1</v>
      </c>
      <c r="BF38">
        <v>8.9940427797940259E-2</v>
      </c>
      <c r="BG38">
        <v>6.4416624901408745E-2</v>
      </c>
      <c r="BH38">
        <v>4.0808891002558682E-2</v>
      </c>
      <c r="BI38">
        <v>0.66514247170336249</v>
      </c>
      <c r="BJ38">
        <v>1</v>
      </c>
      <c r="BK38">
        <v>9.6073425820702829E-2</v>
      </c>
      <c r="BL38">
        <v>6.3987291547393133E-2</v>
      </c>
      <c r="BM38">
        <v>4.1545901614304541E-2</v>
      </c>
      <c r="BN38">
        <v>0.74637699197755625</v>
      </c>
      <c r="BO38">
        <v>1</v>
      </c>
      <c r="BP38">
        <v>0.1030951231625617</v>
      </c>
      <c r="BQ38">
        <v>6.4696499727581833E-2</v>
      </c>
      <c r="BR38">
        <v>4.2891296859269852E-2</v>
      </c>
    </row>
    <row r="39" spans="1:70" x14ac:dyDescent="0.15">
      <c r="A39">
        <v>0.74371189958962491</v>
      </c>
      <c r="B39">
        <v>1</v>
      </c>
      <c r="C39">
        <v>0.10516119689165065</v>
      </c>
      <c r="D39">
        <v>6.8143027751457946E-2</v>
      </c>
      <c r="E39">
        <v>4.4905193346249248E-2</v>
      </c>
      <c r="F39">
        <v>0.76746510480173979</v>
      </c>
      <c r="G39">
        <v>1</v>
      </c>
      <c r="H39">
        <v>0.10934567162472138</v>
      </c>
      <c r="I39">
        <v>6.8468666187470523E-2</v>
      </c>
      <c r="J39">
        <v>4.3872043865053542E-2</v>
      </c>
      <c r="K39">
        <v>0.84567517187067154</v>
      </c>
      <c r="L39">
        <v>1</v>
      </c>
      <c r="M39">
        <v>0.11030092685169297</v>
      </c>
      <c r="N39">
        <v>6.6770747278662695E-2</v>
      </c>
      <c r="O39">
        <v>4.3980039055853293E-2</v>
      </c>
      <c r="P39">
        <v>0.59224472453309829</v>
      </c>
      <c r="Q39">
        <v>1</v>
      </c>
      <c r="R39">
        <v>8.323377173558108E-2</v>
      </c>
      <c r="S39">
        <v>6.4036981282208819E-2</v>
      </c>
      <c r="T39">
        <v>4.1994239198209084E-2</v>
      </c>
      <c r="U39">
        <v>0.61721266778718176</v>
      </c>
      <c r="V39">
        <v>1</v>
      </c>
      <c r="W39">
        <v>8.4484590901881915E-2</v>
      </c>
      <c r="X39">
        <v>6.6449962203411206E-2</v>
      </c>
      <c r="Y39">
        <v>4.2784148607219005E-2</v>
      </c>
      <c r="Z39">
        <v>0.65682088584183729</v>
      </c>
      <c r="AA39">
        <v>1</v>
      </c>
      <c r="AB39">
        <v>0.10193566726751706</v>
      </c>
      <c r="AC39">
        <v>6.897783421609642E-2</v>
      </c>
      <c r="AD39">
        <v>4.5350976212501608E-2</v>
      </c>
      <c r="AE39">
        <v>0.77107594451651917</v>
      </c>
      <c r="AF39">
        <v>1</v>
      </c>
      <c r="AG39">
        <v>0.10829239484161769</v>
      </c>
      <c r="AH39">
        <v>6.7596914112936168E-2</v>
      </c>
      <c r="AI39">
        <v>4.3780726918983437E-2</v>
      </c>
      <c r="AJ39">
        <v>0.68956357735925133</v>
      </c>
      <c r="AK39">
        <v>1</v>
      </c>
      <c r="AL39">
        <v>9.8622696125965637E-2</v>
      </c>
      <c r="AM39">
        <v>6.9243982211051006E-2</v>
      </c>
      <c r="AN39">
        <v>4.4637284288322553E-2</v>
      </c>
      <c r="AO39">
        <v>0.68233012264049875</v>
      </c>
      <c r="AP39">
        <v>1</v>
      </c>
      <c r="AQ39">
        <v>9.8455069647514187E-2</v>
      </c>
      <c r="AR39">
        <v>6.7837530250134781E-2</v>
      </c>
      <c r="AS39">
        <v>4.4540253079327366E-2</v>
      </c>
      <c r="AT39">
        <v>0.66399563884690493</v>
      </c>
      <c r="AU39">
        <v>1</v>
      </c>
      <c r="AV39">
        <v>9.7822394277388647E-2</v>
      </c>
      <c r="AW39">
        <v>6.8238999097907135E-2</v>
      </c>
      <c r="AX39">
        <v>4.4698028304814487E-2</v>
      </c>
      <c r="AY39">
        <v>0.76791759382318125</v>
      </c>
      <c r="AZ39">
        <v>1</v>
      </c>
      <c r="BA39">
        <v>0.10646405371566361</v>
      </c>
      <c r="BB39">
        <v>6.6156263449937747E-2</v>
      </c>
      <c r="BC39">
        <v>4.3796712877446832E-2</v>
      </c>
      <c r="BD39">
        <v>0.65279504254640364</v>
      </c>
      <c r="BE39">
        <v>1</v>
      </c>
      <c r="BF39">
        <v>8.4115843681879687E-2</v>
      </c>
      <c r="BG39">
        <v>6.3427644387674939E-2</v>
      </c>
      <c r="BH39">
        <v>4.1046622448904092E-2</v>
      </c>
      <c r="BI39">
        <v>0.65596063681329353</v>
      </c>
      <c r="BJ39">
        <v>1</v>
      </c>
      <c r="BK39">
        <v>9.3204896415517949E-2</v>
      </c>
      <c r="BL39">
        <v>6.4317062153034482E-2</v>
      </c>
      <c r="BM39">
        <v>4.1389337099888325E-2</v>
      </c>
      <c r="BN39">
        <v>0.76235621753094229</v>
      </c>
      <c r="BO39">
        <v>1</v>
      </c>
      <c r="BP39">
        <v>9.9162143045706794E-2</v>
      </c>
      <c r="BQ39">
        <v>6.5710719097299919E-2</v>
      </c>
      <c r="BR39">
        <v>4.3154537901078351E-2</v>
      </c>
    </row>
    <row r="40" spans="1:70" x14ac:dyDescent="0.15">
      <c r="A40">
        <v>0.74723468041982688</v>
      </c>
      <c r="B40">
        <v>1</v>
      </c>
      <c r="C40">
        <v>0.10285764150859866</v>
      </c>
      <c r="D40">
        <v>6.8525625258994388E-2</v>
      </c>
      <c r="E40">
        <v>4.4812918106196954E-2</v>
      </c>
      <c r="F40">
        <v>0.75736614087377718</v>
      </c>
      <c r="G40">
        <v>1</v>
      </c>
      <c r="H40">
        <v>0.10236900253331452</v>
      </c>
      <c r="I40">
        <v>6.6660076972257773E-2</v>
      </c>
      <c r="J40">
        <v>4.4513822081605828E-2</v>
      </c>
      <c r="K40">
        <v>0.84441842368522801</v>
      </c>
      <c r="L40">
        <v>1</v>
      </c>
      <c r="M40">
        <v>0.11448482288966474</v>
      </c>
      <c r="N40">
        <v>6.6285391345582256E-2</v>
      </c>
      <c r="O40">
        <v>4.4683530290414768E-2</v>
      </c>
      <c r="P40">
        <v>0.60295417137668927</v>
      </c>
      <c r="Q40">
        <v>1</v>
      </c>
      <c r="R40">
        <v>8.3060827932068676E-2</v>
      </c>
      <c r="S40">
        <v>6.3544979219045269E-2</v>
      </c>
      <c r="T40">
        <v>4.0533337828901179E-2</v>
      </c>
      <c r="U40">
        <v>0.61728245514798452</v>
      </c>
      <c r="V40">
        <v>1</v>
      </c>
      <c r="W40">
        <v>8.8078922863262535E-2</v>
      </c>
      <c r="X40">
        <v>6.5141241647443143E-2</v>
      </c>
      <c r="Y40">
        <v>4.1345394500671886E-2</v>
      </c>
      <c r="Z40">
        <v>0.64946533578164511</v>
      </c>
      <c r="AA40">
        <v>1</v>
      </c>
      <c r="AB40">
        <v>9.9018781648486306E-2</v>
      </c>
      <c r="AC40">
        <v>6.976261360462202E-2</v>
      </c>
      <c r="AD40">
        <v>4.4422948053967688E-2</v>
      </c>
      <c r="AE40">
        <v>0.75795592888962293</v>
      </c>
      <c r="AF40">
        <v>1</v>
      </c>
      <c r="AG40">
        <v>0.11081931710556603</v>
      </c>
      <c r="AH40">
        <v>6.8733397160653395E-2</v>
      </c>
      <c r="AI40">
        <v>4.4416127800169528E-2</v>
      </c>
      <c r="AJ40">
        <v>0.71347814693217659</v>
      </c>
      <c r="AK40">
        <v>1</v>
      </c>
      <c r="AL40">
        <v>0.10150498693170321</v>
      </c>
      <c r="AM40">
        <v>6.766158717762083E-2</v>
      </c>
      <c r="AN40">
        <v>4.4417875503494519E-2</v>
      </c>
      <c r="AO40">
        <v>0.67631277649407529</v>
      </c>
      <c r="AP40">
        <v>1</v>
      </c>
      <c r="AQ40">
        <v>0.10310248817148129</v>
      </c>
      <c r="AR40">
        <v>6.7910265528241101E-2</v>
      </c>
      <c r="AS40">
        <v>4.4401053153877323E-2</v>
      </c>
      <c r="AT40">
        <v>0.65892040256905304</v>
      </c>
      <c r="AU40">
        <v>1</v>
      </c>
      <c r="AV40">
        <v>9.6720852441621916E-2</v>
      </c>
      <c r="AW40">
        <v>6.7240705914321047E-2</v>
      </c>
      <c r="AX40">
        <v>4.4220747769643527E-2</v>
      </c>
      <c r="AY40">
        <v>0.75312701684786298</v>
      </c>
      <c r="AZ40">
        <v>1</v>
      </c>
      <c r="BA40">
        <v>0.11051281472110384</v>
      </c>
      <c r="BB40">
        <v>6.6700572218453699E-2</v>
      </c>
      <c r="BC40">
        <v>4.2886337969710843E-2</v>
      </c>
      <c r="BD40">
        <v>0.65905158793424834</v>
      </c>
      <c r="BE40">
        <v>1</v>
      </c>
      <c r="BF40">
        <v>9.4140277117882212E-2</v>
      </c>
      <c r="BG40">
        <v>6.2388578256756255E-2</v>
      </c>
      <c r="BH40">
        <v>4.1844373736616966E-2</v>
      </c>
      <c r="BI40">
        <v>0.66040349744914217</v>
      </c>
      <c r="BJ40">
        <v>1</v>
      </c>
      <c r="BK40">
        <v>9.3306353011040608E-2</v>
      </c>
      <c r="BL40">
        <v>6.4003896521209538E-2</v>
      </c>
      <c r="BM40">
        <v>4.2608778770674559E-2</v>
      </c>
      <c r="BN40">
        <v>0.76194046853272368</v>
      </c>
      <c r="BO40">
        <v>1</v>
      </c>
      <c r="BP40">
        <v>0.10288553707932856</v>
      </c>
      <c r="BQ40">
        <v>6.4823004255454703E-2</v>
      </c>
      <c r="BR40">
        <v>4.2396482483719002E-2</v>
      </c>
    </row>
    <row r="41" spans="1:70" x14ac:dyDescent="0.15">
      <c r="A41">
        <v>0.75188766935536799</v>
      </c>
      <c r="B41">
        <v>1</v>
      </c>
      <c r="C41">
        <v>0.10345308972386529</v>
      </c>
      <c r="D41">
        <v>6.8521247003737309E-2</v>
      </c>
      <c r="E41">
        <v>4.4807214267963871E-2</v>
      </c>
      <c r="F41">
        <v>0.75606115746343994</v>
      </c>
      <c r="G41">
        <v>1</v>
      </c>
      <c r="H41">
        <v>0.10236099078803415</v>
      </c>
      <c r="I41">
        <v>6.7790570610795894E-2</v>
      </c>
      <c r="J41">
        <v>4.3625811247984016E-2</v>
      </c>
      <c r="K41">
        <v>0.85876862910157137</v>
      </c>
      <c r="L41">
        <v>1</v>
      </c>
      <c r="M41">
        <v>0.11423748692495886</v>
      </c>
      <c r="N41">
        <v>6.8495227959428417E-2</v>
      </c>
      <c r="O41">
        <v>4.4542494573141016E-2</v>
      </c>
      <c r="P41">
        <v>0.59265700375292363</v>
      </c>
      <c r="Q41">
        <v>1</v>
      </c>
      <c r="R41">
        <v>8.1629280609614413E-2</v>
      </c>
      <c r="S41">
        <v>6.4280930187992899E-2</v>
      </c>
      <c r="T41">
        <v>4.2100121317164937E-2</v>
      </c>
      <c r="U41">
        <v>0.6071112226848705</v>
      </c>
      <c r="V41">
        <v>1</v>
      </c>
      <c r="W41">
        <v>8.8703855786510494E-2</v>
      </c>
      <c r="X41">
        <v>6.53374566745238E-2</v>
      </c>
      <c r="Y41">
        <v>4.2375805537369617E-2</v>
      </c>
      <c r="Z41">
        <v>0.64246878378418293</v>
      </c>
      <c r="AA41">
        <v>1</v>
      </c>
      <c r="AB41">
        <v>9.6878658714799046E-2</v>
      </c>
      <c r="AC41">
        <v>6.8521486130416878E-2</v>
      </c>
      <c r="AD41">
        <v>4.4065015040887591E-2</v>
      </c>
      <c r="AE41">
        <v>0.76524559207407405</v>
      </c>
      <c r="AF41">
        <v>1</v>
      </c>
      <c r="AG41">
        <v>0.10951277197182684</v>
      </c>
      <c r="AH41">
        <v>6.9174617824840259E-2</v>
      </c>
      <c r="AI41">
        <v>4.3557434989257258E-2</v>
      </c>
      <c r="AJ41">
        <v>0.68981110204219953</v>
      </c>
      <c r="AK41">
        <v>1</v>
      </c>
      <c r="AL41">
        <v>9.8209324071987472E-2</v>
      </c>
      <c r="AM41">
        <v>6.7386864823128417E-2</v>
      </c>
      <c r="AN41">
        <v>4.4965086880049888E-2</v>
      </c>
      <c r="AO41">
        <v>0.6751013957791181</v>
      </c>
      <c r="AP41">
        <v>1</v>
      </c>
      <c r="AQ41">
        <v>9.9690573875041655E-2</v>
      </c>
      <c r="AR41">
        <v>6.9200038303290232E-2</v>
      </c>
      <c r="AS41">
        <v>4.3920638753622329E-2</v>
      </c>
      <c r="AT41">
        <v>0.6535148470565626</v>
      </c>
      <c r="AU41">
        <v>1</v>
      </c>
      <c r="AV41">
        <v>9.2570831854213526E-2</v>
      </c>
      <c r="AW41">
        <v>6.7253258078552342E-2</v>
      </c>
      <c r="AX41">
        <v>4.3829184871634071E-2</v>
      </c>
      <c r="AY41">
        <v>0.74854320214501002</v>
      </c>
      <c r="AZ41">
        <v>1</v>
      </c>
      <c r="BA41">
        <v>0.10557069714709048</v>
      </c>
      <c r="BB41">
        <v>6.6654450011617253E-2</v>
      </c>
      <c r="BC41">
        <v>4.3369936334300266E-2</v>
      </c>
      <c r="BD41">
        <v>0.63741674176836616</v>
      </c>
      <c r="BE41">
        <v>1</v>
      </c>
      <c r="BF41">
        <v>8.9488784478709879E-2</v>
      </c>
      <c r="BG41">
        <v>6.2071521938007482E-2</v>
      </c>
      <c r="BH41">
        <v>4.0768481025828723E-2</v>
      </c>
      <c r="BI41">
        <v>0.6850463037147243</v>
      </c>
      <c r="BJ41">
        <v>1</v>
      </c>
      <c r="BK41">
        <v>9.2885484574655994E-2</v>
      </c>
      <c r="BL41">
        <v>6.4546062022163647E-2</v>
      </c>
      <c r="BM41">
        <v>4.2320278027689666E-2</v>
      </c>
      <c r="BN41">
        <v>0.76244523591086666</v>
      </c>
      <c r="BO41">
        <v>1</v>
      </c>
      <c r="BP41">
        <v>0.10100505233035582</v>
      </c>
      <c r="BQ41">
        <v>6.4976979055821199E-2</v>
      </c>
      <c r="BR41">
        <v>4.3670188791438143E-2</v>
      </c>
    </row>
    <row r="42" spans="1:70" x14ac:dyDescent="0.15">
      <c r="A42">
        <v>0.75901119193484468</v>
      </c>
      <c r="B42">
        <v>1</v>
      </c>
      <c r="C42">
        <v>0.10297847199152702</v>
      </c>
      <c r="D42">
        <v>6.8053299349950913E-2</v>
      </c>
      <c r="E42">
        <v>4.4969503730747006E-2</v>
      </c>
      <c r="F42">
        <v>0.77473998410378464</v>
      </c>
      <c r="G42">
        <v>1</v>
      </c>
      <c r="H42">
        <v>0.10444544433461955</v>
      </c>
      <c r="I42">
        <v>6.8417593096033749E-2</v>
      </c>
      <c r="J42">
        <v>4.4449954530659738E-2</v>
      </c>
      <c r="K42">
        <v>0.86114557612633935</v>
      </c>
      <c r="L42">
        <v>1</v>
      </c>
      <c r="M42">
        <v>0.11565278146202218</v>
      </c>
      <c r="N42">
        <v>6.6309939568196752E-2</v>
      </c>
      <c r="O42">
        <v>4.4276712026791482E-2</v>
      </c>
      <c r="P42">
        <v>0.59170291759912708</v>
      </c>
      <c r="Q42">
        <v>1</v>
      </c>
      <c r="R42">
        <v>8.3391859276499739E-2</v>
      </c>
      <c r="S42">
        <v>6.6795101205581311E-2</v>
      </c>
      <c r="T42">
        <v>4.1678920913227988E-2</v>
      </c>
      <c r="U42">
        <v>0.62466070943450569</v>
      </c>
      <c r="V42">
        <v>1</v>
      </c>
      <c r="W42">
        <v>8.7330842541572251E-2</v>
      </c>
      <c r="X42">
        <v>6.5555267698663225E-2</v>
      </c>
      <c r="Y42">
        <v>4.3479288133920192E-2</v>
      </c>
      <c r="Z42">
        <v>0.65218689074843839</v>
      </c>
      <c r="AA42">
        <v>1</v>
      </c>
      <c r="AB42">
        <v>9.8413255768588268E-2</v>
      </c>
      <c r="AC42">
        <v>6.7370432936268432E-2</v>
      </c>
      <c r="AD42">
        <v>4.5274627739986605E-2</v>
      </c>
      <c r="AE42">
        <v>0.76275049373357551</v>
      </c>
      <c r="AF42">
        <v>1</v>
      </c>
      <c r="AG42">
        <v>0.10550549611658559</v>
      </c>
      <c r="AH42">
        <v>6.8688220180193091E-2</v>
      </c>
      <c r="AI42">
        <v>4.4736095687838894E-2</v>
      </c>
      <c r="AJ42">
        <v>0.71813625886261179</v>
      </c>
      <c r="AK42">
        <v>1</v>
      </c>
      <c r="AL42">
        <v>9.6918411733422138E-2</v>
      </c>
      <c r="AM42">
        <v>6.7561422778375346E-2</v>
      </c>
      <c r="AN42">
        <v>4.4911078317896765E-2</v>
      </c>
      <c r="AO42">
        <v>0.68071418861924382</v>
      </c>
      <c r="AP42">
        <v>1</v>
      </c>
      <c r="AQ42">
        <v>0.10265638596455638</v>
      </c>
      <c r="AR42">
        <v>6.7962240087243914E-2</v>
      </c>
      <c r="AS42">
        <v>4.5386877448116446E-2</v>
      </c>
      <c r="AT42">
        <v>0.66249328937183571</v>
      </c>
      <c r="AU42">
        <v>1</v>
      </c>
      <c r="AV42">
        <v>9.6273662775995764E-2</v>
      </c>
      <c r="AW42">
        <v>6.5634267379667696E-2</v>
      </c>
      <c r="AX42">
        <v>4.4146245894510223E-2</v>
      </c>
      <c r="AY42">
        <v>0.76729192087238429</v>
      </c>
      <c r="AZ42">
        <v>1</v>
      </c>
      <c r="BA42">
        <v>0.1071198273586499</v>
      </c>
      <c r="BB42">
        <v>6.7382212900257532E-2</v>
      </c>
      <c r="BC42">
        <v>4.2424067639264561E-2</v>
      </c>
      <c r="BD42">
        <v>0.65503075136178224</v>
      </c>
      <c r="BE42">
        <v>1</v>
      </c>
      <c r="BF42">
        <v>9.3789025428783979E-2</v>
      </c>
      <c r="BG42">
        <v>6.2969248360989341E-2</v>
      </c>
      <c r="BH42">
        <v>3.9490393079414939E-2</v>
      </c>
      <c r="BI42">
        <v>0.64740434641089029</v>
      </c>
      <c r="BJ42">
        <v>1</v>
      </c>
      <c r="BK42">
        <v>0.10029414791076302</v>
      </c>
      <c r="BL42">
        <v>6.534309125179423E-2</v>
      </c>
      <c r="BM42">
        <v>4.2108282671058435E-2</v>
      </c>
      <c r="BN42">
        <v>0.76402193387425987</v>
      </c>
      <c r="BO42">
        <v>1</v>
      </c>
      <c r="BP42">
        <v>0.10693791134187071</v>
      </c>
      <c r="BQ42">
        <v>6.5153763564232192E-2</v>
      </c>
      <c r="BR42">
        <v>4.3807903744933006E-2</v>
      </c>
    </row>
    <row r="43" spans="1:70" x14ac:dyDescent="0.15">
      <c r="A43">
        <v>0.76148630336381662</v>
      </c>
      <c r="B43">
        <v>1</v>
      </c>
      <c r="C43">
        <v>0.1051848759370809</v>
      </c>
      <c r="D43">
        <v>6.7723414977590213E-2</v>
      </c>
      <c r="E43">
        <v>4.3687849577485047E-2</v>
      </c>
      <c r="F43">
        <v>0.773702943251102</v>
      </c>
      <c r="G43">
        <v>1</v>
      </c>
      <c r="H43">
        <v>0.10423766506521065</v>
      </c>
      <c r="I43">
        <v>6.7928705089379426E-2</v>
      </c>
      <c r="J43">
        <v>4.365625420544185E-2</v>
      </c>
      <c r="K43">
        <v>0.85505049702007285</v>
      </c>
      <c r="L43">
        <v>1</v>
      </c>
      <c r="M43">
        <v>0.11086137706735531</v>
      </c>
      <c r="N43">
        <v>6.6581332228066059E-2</v>
      </c>
      <c r="O43">
        <v>4.3729272375106709E-2</v>
      </c>
      <c r="P43">
        <v>0.5869749263799704</v>
      </c>
      <c r="Q43">
        <v>1</v>
      </c>
      <c r="R43">
        <v>8.6225267060692043E-2</v>
      </c>
      <c r="S43">
        <v>6.5214671561716731E-2</v>
      </c>
      <c r="T43">
        <v>4.2482070269928653E-2</v>
      </c>
      <c r="U43">
        <v>0.61539114648856108</v>
      </c>
      <c r="V43">
        <v>1</v>
      </c>
      <c r="W43">
        <v>8.7607058491078846E-2</v>
      </c>
      <c r="X43">
        <v>6.5468485841133295E-2</v>
      </c>
      <c r="Y43">
        <v>4.2200965563749457E-2</v>
      </c>
      <c r="Z43">
        <v>0.64064845468099907</v>
      </c>
      <c r="AA43">
        <v>1</v>
      </c>
      <c r="AB43">
        <v>0.10238012087146561</v>
      </c>
      <c r="AC43">
        <v>6.7673699077370392E-2</v>
      </c>
      <c r="AD43">
        <v>4.5727544454067653E-2</v>
      </c>
      <c r="AE43">
        <v>0.77408585413647735</v>
      </c>
      <c r="AF43">
        <v>1</v>
      </c>
      <c r="AG43">
        <v>0.10687476857393946</v>
      </c>
      <c r="AH43">
        <v>6.7977138515444041E-2</v>
      </c>
      <c r="AI43">
        <v>4.4027159531180513E-2</v>
      </c>
      <c r="AJ43">
        <v>0.69544698005159844</v>
      </c>
      <c r="AK43">
        <v>1</v>
      </c>
      <c r="AL43">
        <v>0.10630578920455774</v>
      </c>
      <c r="AM43">
        <v>6.8124371645655588E-2</v>
      </c>
      <c r="AN43">
        <v>4.5287959758820696E-2</v>
      </c>
      <c r="AO43">
        <v>0.68968150371985615</v>
      </c>
      <c r="AP43">
        <v>1</v>
      </c>
      <c r="AQ43">
        <v>0.10241375093796867</v>
      </c>
      <c r="AR43">
        <v>6.8300404795661684E-2</v>
      </c>
      <c r="AS43">
        <v>4.5766350490895752E-2</v>
      </c>
      <c r="AT43">
        <v>0.67497984772660991</v>
      </c>
      <c r="AU43">
        <v>1</v>
      </c>
      <c r="AV43">
        <v>0.1017049051165077</v>
      </c>
      <c r="AW43">
        <v>6.6607066157674644E-2</v>
      </c>
      <c r="AX43">
        <v>4.3145864917958528E-2</v>
      </c>
      <c r="AY43">
        <v>0.75664563797206652</v>
      </c>
      <c r="AZ43">
        <v>1</v>
      </c>
      <c r="BA43">
        <v>0.10315217891613061</v>
      </c>
      <c r="BB43">
        <v>6.6355995678506363E-2</v>
      </c>
      <c r="BC43">
        <v>4.3547946722627399E-2</v>
      </c>
      <c r="BD43">
        <v>0.65595970674160387</v>
      </c>
      <c r="BE43">
        <v>1</v>
      </c>
      <c r="BF43">
        <v>9.1015831539476719E-2</v>
      </c>
      <c r="BG43">
        <v>6.490209815062245E-2</v>
      </c>
      <c r="BH43">
        <v>4.0825274030191941E-2</v>
      </c>
      <c r="BI43">
        <v>0.65659977966235195</v>
      </c>
      <c r="BJ43">
        <v>1</v>
      </c>
      <c r="BK43">
        <v>9.5706557920539795E-2</v>
      </c>
      <c r="BL43">
        <v>6.5182963036380326E-2</v>
      </c>
      <c r="BM43">
        <v>4.1368221944100947E-2</v>
      </c>
      <c r="BN43">
        <v>0.7433379877385301</v>
      </c>
      <c r="BO43">
        <v>1</v>
      </c>
      <c r="BP43">
        <v>0.10383341634582985</v>
      </c>
      <c r="BQ43">
        <v>6.5681883434307975E-2</v>
      </c>
      <c r="BR43">
        <v>4.3875552871875133E-2</v>
      </c>
    </row>
    <row r="44" spans="1:70" x14ac:dyDescent="0.15">
      <c r="A44">
        <v>0.76555840000128705</v>
      </c>
      <c r="B44">
        <v>1</v>
      </c>
      <c r="C44">
        <v>0.10089688265443861</v>
      </c>
      <c r="D44">
        <v>6.8044365654456596E-2</v>
      </c>
      <c r="E44">
        <v>4.3459419176932329E-2</v>
      </c>
      <c r="F44">
        <v>0.7747162283505421</v>
      </c>
      <c r="G44">
        <v>1</v>
      </c>
      <c r="H44">
        <v>0.10474198622576157</v>
      </c>
      <c r="I44">
        <v>6.6739478782927089E-2</v>
      </c>
      <c r="J44">
        <v>4.2561967623997186E-2</v>
      </c>
      <c r="K44">
        <v>0.85213523501577149</v>
      </c>
      <c r="L44">
        <v>1</v>
      </c>
      <c r="M44">
        <v>0.10994493627926982</v>
      </c>
      <c r="N44">
        <v>6.6144094089038971E-2</v>
      </c>
      <c r="O44">
        <v>4.4478833597207314E-2</v>
      </c>
      <c r="P44">
        <v>0.59297667036344925</v>
      </c>
      <c r="Q44">
        <v>1</v>
      </c>
      <c r="R44">
        <v>8.1766315639378084E-2</v>
      </c>
      <c r="S44">
        <v>6.5489730243077582E-2</v>
      </c>
      <c r="T44">
        <v>4.1994007596542628E-2</v>
      </c>
      <c r="U44">
        <v>0.62808501586704446</v>
      </c>
      <c r="V44">
        <v>1</v>
      </c>
      <c r="W44">
        <v>8.93149438141215E-2</v>
      </c>
      <c r="X44">
        <v>6.6205554589146842E-2</v>
      </c>
      <c r="Y44">
        <v>4.3015671159053789E-2</v>
      </c>
      <c r="Z44">
        <v>0.64805289546040268</v>
      </c>
      <c r="AA44">
        <v>1</v>
      </c>
      <c r="AB44">
        <v>0.10117071249811636</v>
      </c>
      <c r="AC44">
        <v>6.9250569855850735E-2</v>
      </c>
      <c r="AD44">
        <v>4.4806900047581685E-2</v>
      </c>
      <c r="AE44">
        <v>0.76092018286817753</v>
      </c>
      <c r="AF44">
        <v>1</v>
      </c>
      <c r="AG44">
        <v>0.10778348174691302</v>
      </c>
      <c r="AH44">
        <v>6.8404455048512544E-2</v>
      </c>
      <c r="AI44">
        <v>4.4693065182947973E-2</v>
      </c>
      <c r="AJ44">
        <v>0.6785068405447412</v>
      </c>
      <c r="AK44">
        <v>1</v>
      </c>
      <c r="AL44">
        <v>9.8130550272739911E-2</v>
      </c>
      <c r="AM44">
        <v>6.8830584342617948E-2</v>
      </c>
      <c r="AN44">
        <v>4.5945410958310694E-2</v>
      </c>
      <c r="AO44">
        <v>0.67697632326522206</v>
      </c>
      <c r="AP44">
        <v>1</v>
      </c>
      <c r="AQ44">
        <v>0.10081783885376007</v>
      </c>
      <c r="AR44">
        <v>6.7862961489040308E-2</v>
      </c>
      <c r="AS44">
        <v>4.3751246625175468E-2</v>
      </c>
      <c r="AT44">
        <v>0.65715636199947414</v>
      </c>
      <c r="AU44">
        <v>1</v>
      </c>
      <c r="AV44">
        <v>0.10276480132478077</v>
      </c>
      <c r="AW44">
        <v>6.8207007871093392E-2</v>
      </c>
      <c r="AX44">
        <v>4.3680936436638888E-2</v>
      </c>
      <c r="AY44">
        <v>0.77221049876448322</v>
      </c>
      <c r="AZ44">
        <v>1</v>
      </c>
      <c r="BA44">
        <v>0.1113594050669284</v>
      </c>
      <c r="BB44">
        <v>6.6377393922716632E-2</v>
      </c>
      <c r="BC44">
        <v>4.2269477087048583E-2</v>
      </c>
      <c r="BD44">
        <v>0.64535300185825817</v>
      </c>
      <c r="BE44">
        <v>1</v>
      </c>
      <c r="BF44">
        <v>9.1359852983675133E-2</v>
      </c>
      <c r="BG44">
        <v>6.2826051258694365E-2</v>
      </c>
      <c r="BH44">
        <v>4.1473218845698684E-2</v>
      </c>
      <c r="BI44">
        <v>0.65716695720451346</v>
      </c>
      <c r="BJ44">
        <v>1</v>
      </c>
      <c r="BK44">
        <v>9.1105243477173997E-2</v>
      </c>
      <c r="BL44">
        <v>6.4259626805023937E-2</v>
      </c>
      <c r="BM44">
        <v>4.16670110848422E-2</v>
      </c>
      <c r="BN44">
        <v>0.77349771386503252</v>
      </c>
      <c r="BO44">
        <v>1</v>
      </c>
      <c r="BP44">
        <v>0.10529814646219826</v>
      </c>
      <c r="BQ44">
        <v>6.5636072106941362E-2</v>
      </c>
      <c r="BR44">
        <v>4.3430484070254426E-2</v>
      </c>
    </row>
    <row r="45" spans="1:70" x14ac:dyDescent="0.15">
      <c r="A45">
        <v>0.75316583717138619</v>
      </c>
      <c r="B45">
        <v>1</v>
      </c>
      <c r="C45">
        <v>0.10586112681220305</v>
      </c>
      <c r="D45">
        <v>6.8749955858316364E-2</v>
      </c>
      <c r="E45">
        <v>4.4870014037274204E-2</v>
      </c>
      <c r="F45">
        <v>0.76064969628302226</v>
      </c>
      <c r="G45">
        <v>1</v>
      </c>
      <c r="H45">
        <v>0.10708317487871701</v>
      </c>
      <c r="I45">
        <v>6.8413993654817845E-2</v>
      </c>
      <c r="J45">
        <v>4.3078506556652463E-2</v>
      </c>
      <c r="K45">
        <v>0.85287799921883534</v>
      </c>
      <c r="L45">
        <v>1</v>
      </c>
      <c r="M45">
        <v>0.10562871011389906</v>
      </c>
      <c r="N45">
        <v>6.7203838036171193E-2</v>
      </c>
      <c r="O45">
        <v>4.5773621502651032E-2</v>
      </c>
      <c r="P45">
        <v>0.5943929625431289</v>
      </c>
      <c r="Q45">
        <v>1</v>
      </c>
      <c r="R45">
        <v>8.6379341950766506E-2</v>
      </c>
      <c r="S45">
        <v>6.4712622193888319E-2</v>
      </c>
      <c r="T45">
        <v>4.2153022586463619E-2</v>
      </c>
      <c r="U45">
        <v>0.62355277484192517</v>
      </c>
      <c r="V45">
        <v>1</v>
      </c>
      <c r="W45">
        <v>8.9599512580653295E-2</v>
      </c>
      <c r="X45">
        <v>6.5532837482303333E-2</v>
      </c>
      <c r="Y45">
        <v>4.20092404191314E-2</v>
      </c>
      <c r="Z45">
        <v>0.65931527747561569</v>
      </c>
      <c r="AA45">
        <v>1</v>
      </c>
      <c r="AB45">
        <v>0.1010794530894281</v>
      </c>
      <c r="AC45">
        <v>6.7939145011808227E-2</v>
      </c>
      <c r="AD45">
        <v>4.5263042927304195E-2</v>
      </c>
      <c r="AE45">
        <v>0.77244891304367569</v>
      </c>
      <c r="AF45">
        <v>1</v>
      </c>
      <c r="AG45">
        <v>0.10941589083604307</v>
      </c>
      <c r="AH45">
        <v>6.7553827729614782E-2</v>
      </c>
      <c r="AI45">
        <v>4.523713433301265E-2</v>
      </c>
      <c r="AJ45">
        <v>0.71382397527044705</v>
      </c>
      <c r="AK45">
        <v>1</v>
      </c>
      <c r="AL45">
        <v>0.10093944900161445</v>
      </c>
      <c r="AM45">
        <v>6.8769505759403673E-2</v>
      </c>
      <c r="AN45">
        <v>4.4627751257060387E-2</v>
      </c>
      <c r="AO45">
        <v>0.68300998830863047</v>
      </c>
      <c r="AP45">
        <v>1</v>
      </c>
      <c r="AQ45">
        <v>9.5749157701460738E-2</v>
      </c>
      <c r="AR45">
        <v>6.7493460770815958E-2</v>
      </c>
      <c r="AS45">
        <v>4.4718549291115482E-2</v>
      </c>
      <c r="AT45">
        <v>0.65816528134534669</v>
      </c>
      <c r="AU45">
        <v>1</v>
      </c>
      <c r="AV45">
        <v>9.7652701511864864E-2</v>
      </c>
      <c r="AW45">
        <v>6.8045674945391571E-2</v>
      </c>
      <c r="AX45">
        <v>4.3656300359419642E-2</v>
      </c>
      <c r="AY45">
        <v>0.75496049392588216</v>
      </c>
      <c r="AZ45">
        <v>1</v>
      </c>
      <c r="BA45">
        <v>0.10536821857225272</v>
      </c>
      <c r="BB45">
        <v>6.587238840862715E-2</v>
      </c>
      <c r="BC45">
        <v>4.3097071248203687E-2</v>
      </c>
      <c r="BD45">
        <v>0.6616712879281742</v>
      </c>
      <c r="BE45">
        <v>1</v>
      </c>
      <c r="BF45">
        <v>9.3315345410417513E-2</v>
      </c>
      <c r="BG45">
        <v>6.394564357617348E-2</v>
      </c>
      <c r="BH45">
        <v>4.1356947264850154E-2</v>
      </c>
      <c r="BI45">
        <v>0.67432218987833692</v>
      </c>
      <c r="BJ45">
        <v>1</v>
      </c>
      <c r="BK45">
        <v>9.568702871542413E-2</v>
      </c>
      <c r="BL45">
        <v>6.482133447303523E-2</v>
      </c>
      <c r="BM45">
        <v>4.1713518999534349E-2</v>
      </c>
      <c r="BN45">
        <v>0.76340495379791218</v>
      </c>
      <c r="BO45">
        <v>1</v>
      </c>
      <c r="BP45">
        <v>0.10395703695981166</v>
      </c>
      <c r="BQ45">
        <v>6.4601716445486942E-2</v>
      </c>
      <c r="BR45">
        <v>4.276429546897826E-2</v>
      </c>
    </row>
    <row r="46" spans="1:70" x14ac:dyDescent="0.15">
      <c r="A46">
        <v>0.73945684105367293</v>
      </c>
      <c r="B46">
        <v>1</v>
      </c>
      <c r="C46">
        <v>0.10374947108227126</v>
      </c>
      <c r="D46">
        <v>6.8668232640449703E-2</v>
      </c>
      <c r="E46">
        <v>4.3501106037431084E-2</v>
      </c>
      <c r="F46">
        <v>0.75985465170422262</v>
      </c>
      <c r="G46">
        <v>1</v>
      </c>
      <c r="H46">
        <v>0.10879843934493844</v>
      </c>
      <c r="I46">
        <v>6.7547296009882268E-2</v>
      </c>
      <c r="J46">
        <v>4.3490245150519816E-2</v>
      </c>
      <c r="K46">
        <v>0.86516790027050317</v>
      </c>
      <c r="L46">
        <v>1</v>
      </c>
      <c r="M46">
        <v>0.11186117113440176</v>
      </c>
      <c r="N46">
        <v>6.6058826297434314E-2</v>
      </c>
      <c r="O46">
        <v>4.4422234131523262E-2</v>
      </c>
      <c r="P46">
        <v>0.58377853428672632</v>
      </c>
      <c r="Q46">
        <v>1</v>
      </c>
      <c r="R46">
        <v>8.8470503590124122E-2</v>
      </c>
      <c r="S46">
        <v>6.5406556077113293E-2</v>
      </c>
      <c r="T46">
        <v>4.1476149575219376E-2</v>
      </c>
      <c r="U46">
        <v>0.62887957454004695</v>
      </c>
      <c r="V46">
        <v>1</v>
      </c>
      <c r="W46">
        <v>8.4680246189509201E-2</v>
      </c>
      <c r="X46">
        <v>6.4383609794850694E-2</v>
      </c>
      <c r="Y46">
        <v>4.1890128581693831E-2</v>
      </c>
      <c r="Z46">
        <v>0.65387810392707502</v>
      </c>
      <c r="AA46">
        <v>1</v>
      </c>
      <c r="AB46">
        <v>9.595249824224604E-2</v>
      </c>
      <c r="AC46">
        <v>6.9394106407522763E-2</v>
      </c>
      <c r="AD46">
        <v>4.4805430787404302E-2</v>
      </c>
      <c r="AE46">
        <v>0.76101479269072714</v>
      </c>
      <c r="AF46">
        <v>1</v>
      </c>
      <c r="AG46">
        <v>0.10518821787747393</v>
      </c>
      <c r="AH46">
        <v>6.8102260480055243E-2</v>
      </c>
      <c r="AI46">
        <v>4.4670845912910262E-2</v>
      </c>
      <c r="AJ46">
        <v>0.7092690659865285</v>
      </c>
      <c r="AK46">
        <v>1</v>
      </c>
      <c r="AL46">
        <v>9.473544448590511E-2</v>
      </c>
      <c r="AM46">
        <v>7.0646000535775438E-2</v>
      </c>
      <c r="AN46">
        <v>4.3470201245517058E-2</v>
      </c>
      <c r="AO46">
        <v>0.67535079389364672</v>
      </c>
      <c r="AP46">
        <v>1</v>
      </c>
      <c r="AQ46">
        <v>9.6736469167555114E-2</v>
      </c>
      <c r="AR46">
        <v>6.7801264466362379E-2</v>
      </c>
      <c r="AS46">
        <v>4.5193119039159395E-2</v>
      </c>
      <c r="AT46">
        <v>0.65589255510249944</v>
      </c>
      <c r="AU46">
        <v>1</v>
      </c>
      <c r="AV46">
        <v>0.10277890194870447</v>
      </c>
      <c r="AW46">
        <v>6.7244358284458489E-2</v>
      </c>
      <c r="AX46">
        <v>4.2980532301877442E-2</v>
      </c>
      <c r="AY46">
        <v>0.76739772526533856</v>
      </c>
      <c r="AZ46">
        <v>1</v>
      </c>
      <c r="BA46">
        <v>0.10576912828436466</v>
      </c>
      <c r="BB46">
        <v>6.704955149984046E-2</v>
      </c>
      <c r="BC46">
        <v>4.285591032790121E-2</v>
      </c>
      <c r="BD46">
        <v>0.649399994471338</v>
      </c>
      <c r="BE46">
        <v>1</v>
      </c>
      <c r="BF46">
        <v>9.4713235568253784E-2</v>
      </c>
      <c r="BG46">
        <v>6.4027986454186392E-2</v>
      </c>
      <c r="BH46">
        <v>4.0584386967652146E-2</v>
      </c>
      <c r="BI46">
        <v>0.67861371632683376</v>
      </c>
      <c r="BJ46">
        <v>1</v>
      </c>
      <c r="BK46">
        <v>9.5787158798721725E-2</v>
      </c>
      <c r="BL46">
        <v>6.4141863961822268E-2</v>
      </c>
      <c r="BM46">
        <v>4.1602267179615168E-2</v>
      </c>
      <c r="BN46">
        <v>0.74947969366028522</v>
      </c>
      <c r="BO46">
        <v>1</v>
      </c>
      <c r="BP46">
        <v>0.10773404801946256</v>
      </c>
      <c r="BQ46">
        <v>6.5970153023534803E-2</v>
      </c>
      <c r="BR46">
        <v>4.3818482748767401E-2</v>
      </c>
    </row>
    <row r="47" spans="1:70" x14ac:dyDescent="0.15">
      <c r="A47">
        <v>0.74955953310234547</v>
      </c>
      <c r="B47">
        <v>1</v>
      </c>
      <c r="C47">
        <v>0.10462481963706664</v>
      </c>
      <c r="D47">
        <v>6.8764083144926672E-2</v>
      </c>
      <c r="E47">
        <v>4.4788884780901497E-2</v>
      </c>
      <c r="F47">
        <v>0.76404354533241992</v>
      </c>
      <c r="G47">
        <v>1</v>
      </c>
      <c r="H47">
        <v>0.10454291430715811</v>
      </c>
      <c r="I47">
        <v>6.7504596480669199E-2</v>
      </c>
      <c r="J47">
        <v>4.2753611319989046E-2</v>
      </c>
      <c r="K47">
        <v>0.87176141267656382</v>
      </c>
      <c r="L47">
        <v>1</v>
      </c>
      <c r="M47">
        <v>0.10877372570641454</v>
      </c>
      <c r="N47">
        <v>6.6225022192307748E-2</v>
      </c>
      <c r="O47">
        <v>4.4528579342456825E-2</v>
      </c>
      <c r="P47">
        <v>0.59825997928242147</v>
      </c>
      <c r="Q47">
        <v>1</v>
      </c>
      <c r="R47">
        <v>8.1677420914230484E-2</v>
      </c>
      <c r="S47">
        <v>6.4157193229633702E-2</v>
      </c>
      <c r="T47">
        <v>4.2690274869928109E-2</v>
      </c>
      <c r="U47">
        <v>0.61713366128380232</v>
      </c>
      <c r="V47">
        <v>1</v>
      </c>
      <c r="W47">
        <v>8.9155263143336869E-2</v>
      </c>
      <c r="X47">
        <v>6.579718366277687E-2</v>
      </c>
      <c r="Y47">
        <v>4.3097984296988676E-2</v>
      </c>
      <c r="Z47">
        <v>0.65192156741084317</v>
      </c>
      <c r="AA47">
        <v>1</v>
      </c>
      <c r="AB47">
        <v>9.7663818190790036E-2</v>
      </c>
      <c r="AC47">
        <v>6.9427320491399172E-2</v>
      </c>
      <c r="AD47">
        <v>4.4802366009074363E-2</v>
      </c>
      <c r="AE47">
        <v>0.74875034026728704</v>
      </c>
      <c r="AF47">
        <v>1</v>
      </c>
      <c r="AG47">
        <v>0.10767991278194346</v>
      </c>
      <c r="AH47">
        <v>6.8324912891460574E-2</v>
      </c>
      <c r="AI47">
        <v>4.4841714935759787E-2</v>
      </c>
      <c r="AJ47">
        <v>0.69839153721389458</v>
      </c>
      <c r="AK47">
        <v>1</v>
      </c>
      <c r="AL47">
        <v>0.10527909936825422</v>
      </c>
      <c r="AM47">
        <v>6.7771890985345112E-2</v>
      </c>
      <c r="AN47">
        <v>4.4712273330186E-2</v>
      </c>
      <c r="AO47">
        <v>0.68720133733693711</v>
      </c>
      <c r="AP47">
        <v>1</v>
      </c>
      <c r="AQ47">
        <v>9.5797238815912719E-2</v>
      </c>
      <c r="AR47">
        <v>6.761815711658653E-2</v>
      </c>
      <c r="AS47">
        <v>4.3988156588866213E-2</v>
      </c>
      <c r="AT47">
        <v>0.65998164746969346</v>
      </c>
      <c r="AU47">
        <v>1</v>
      </c>
      <c r="AV47">
        <v>9.7381585514091804E-2</v>
      </c>
      <c r="AW47">
        <v>6.6702570905694827E-2</v>
      </c>
      <c r="AX47">
        <v>4.4449478040571845E-2</v>
      </c>
      <c r="AY47">
        <v>0.76732728768592251</v>
      </c>
      <c r="AZ47">
        <v>1</v>
      </c>
      <c r="BA47">
        <v>0.10804901248990088</v>
      </c>
      <c r="BB47">
        <v>6.6486179373072246E-2</v>
      </c>
      <c r="BC47">
        <v>4.3333033541460758E-2</v>
      </c>
      <c r="BD47">
        <v>0.65615443053874389</v>
      </c>
      <c r="BE47">
        <v>1</v>
      </c>
      <c r="BF47">
        <v>9.2964717636939115E-2</v>
      </c>
      <c r="BG47">
        <v>6.4586598643135248E-2</v>
      </c>
      <c r="BH47">
        <v>4.0903462001191541E-2</v>
      </c>
      <c r="BI47">
        <v>0.66023292691300861</v>
      </c>
      <c r="BJ47">
        <v>1</v>
      </c>
      <c r="BK47">
        <v>9.7155159557291731E-2</v>
      </c>
      <c r="BL47">
        <v>6.4041918644428292E-2</v>
      </c>
      <c r="BM47">
        <v>4.1847046879817967E-2</v>
      </c>
      <c r="BN47">
        <v>0.75243341638891903</v>
      </c>
      <c r="BO47">
        <v>1</v>
      </c>
      <c r="BP47">
        <v>0.10543520558082378</v>
      </c>
      <c r="BQ47">
        <v>6.6522479266490589E-2</v>
      </c>
      <c r="BR47">
        <v>4.3158821183400586E-2</v>
      </c>
    </row>
    <row r="48" spans="1:70" x14ac:dyDescent="0.15">
      <c r="A48">
        <v>0.73534457790769814</v>
      </c>
      <c r="B48">
        <v>1</v>
      </c>
      <c r="C48">
        <v>0.10314627103191008</v>
      </c>
      <c r="D48">
        <v>7.0002879638199372E-2</v>
      </c>
      <c r="E48">
        <v>4.3785246443069505E-2</v>
      </c>
      <c r="F48">
        <v>0.77496679797904044</v>
      </c>
      <c r="G48">
        <v>1</v>
      </c>
      <c r="H48">
        <v>0.10389785761528585</v>
      </c>
      <c r="I48">
        <v>6.8647206970374144E-2</v>
      </c>
      <c r="J48">
        <v>4.3455854601246895E-2</v>
      </c>
      <c r="K48">
        <v>0.87658737329425496</v>
      </c>
      <c r="L48">
        <v>1</v>
      </c>
      <c r="M48">
        <v>0.11084717721026031</v>
      </c>
      <c r="N48">
        <v>6.5863742658545804E-2</v>
      </c>
      <c r="O48">
        <v>4.4290262019801983E-2</v>
      </c>
      <c r="P48">
        <v>0.58997497727068782</v>
      </c>
      <c r="Q48">
        <v>1</v>
      </c>
      <c r="R48">
        <v>8.228619492889204E-2</v>
      </c>
      <c r="S48">
        <v>6.5215218191954916E-2</v>
      </c>
      <c r="T48">
        <v>4.1655675095671439E-2</v>
      </c>
      <c r="U48">
        <v>0.6130767631697337</v>
      </c>
      <c r="V48">
        <v>1</v>
      </c>
      <c r="W48">
        <v>8.7963169698272475E-2</v>
      </c>
      <c r="X48">
        <v>6.603918713014599E-2</v>
      </c>
      <c r="Y48">
        <v>4.2901028263088788E-2</v>
      </c>
      <c r="Z48">
        <v>0.65168641859010346</v>
      </c>
      <c r="AA48">
        <v>1</v>
      </c>
      <c r="AB48">
        <v>9.9852131915807857E-2</v>
      </c>
      <c r="AC48">
        <v>7.0054241123745156E-2</v>
      </c>
      <c r="AD48">
        <v>4.3965364555886802E-2</v>
      </c>
      <c r="AE48">
        <v>0.77896098347635168</v>
      </c>
      <c r="AF48">
        <v>1</v>
      </c>
      <c r="AG48">
        <v>0.10377225852809764</v>
      </c>
      <c r="AH48">
        <v>6.9025527060574118E-2</v>
      </c>
      <c r="AI48">
        <v>4.5097751812816451E-2</v>
      </c>
      <c r="AJ48">
        <v>0.69930976668952216</v>
      </c>
      <c r="AK48">
        <v>1</v>
      </c>
      <c r="AL48">
        <v>0.10031670893773081</v>
      </c>
      <c r="AM48">
        <v>6.8673802345442445E-2</v>
      </c>
      <c r="AN48">
        <v>4.4145367346954262E-2</v>
      </c>
      <c r="AO48">
        <v>0.68526762244322337</v>
      </c>
      <c r="AP48">
        <v>1</v>
      </c>
      <c r="AQ48">
        <v>0.10213432058163922</v>
      </c>
      <c r="AR48">
        <v>6.7854036269686946E-2</v>
      </c>
      <c r="AS48">
        <v>4.4783835970507758E-2</v>
      </c>
      <c r="AT48">
        <v>0.66198186476348464</v>
      </c>
      <c r="AU48">
        <v>1</v>
      </c>
      <c r="AV48">
        <v>9.9435683841012618E-2</v>
      </c>
      <c r="AW48">
        <v>6.7020935650340493E-2</v>
      </c>
      <c r="AX48">
        <v>4.2249937333546921E-2</v>
      </c>
      <c r="AY48">
        <v>0.76710402237208164</v>
      </c>
      <c r="AZ48">
        <v>1</v>
      </c>
      <c r="BA48">
        <v>0.10804869608369046</v>
      </c>
      <c r="BB48">
        <v>6.6500338658651764E-2</v>
      </c>
      <c r="BC48">
        <v>4.316040306542384E-2</v>
      </c>
      <c r="BD48">
        <v>0.6556897837169946</v>
      </c>
      <c r="BE48">
        <v>1</v>
      </c>
      <c r="BF48">
        <v>9.2147908717480811E-2</v>
      </c>
      <c r="BG48">
        <v>6.4388169095094011E-2</v>
      </c>
      <c r="BH48">
        <v>4.0719465988022237E-2</v>
      </c>
      <c r="BI48">
        <v>0.66788587506784969</v>
      </c>
      <c r="BJ48">
        <v>1</v>
      </c>
      <c r="BK48">
        <v>9.6484279052104341E-2</v>
      </c>
      <c r="BL48">
        <v>6.4065807825761739E-2</v>
      </c>
      <c r="BM48">
        <v>4.2705044105404349E-2</v>
      </c>
      <c r="BN48">
        <v>0.75670942079113135</v>
      </c>
      <c r="BO48">
        <v>1</v>
      </c>
      <c r="BP48">
        <v>0.10035123343371695</v>
      </c>
      <c r="BQ48">
        <v>6.7053463225604126E-2</v>
      </c>
      <c r="BR48">
        <v>4.3938755389872144E-2</v>
      </c>
    </row>
    <row r="49" spans="1:70" x14ac:dyDescent="0.15">
      <c r="A49">
        <v>0.76584473966156663</v>
      </c>
      <c r="B49">
        <v>1</v>
      </c>
      <c r="C49">
        <v>0.10248714402988161</v>
      </c>
      <c r="D49">
        <v>6.82708547867171E-2</v>
      </c>
      <c r="E49">
        <v>4.5311321693025E-2</v>
      </c>
      <c r="F49">
        <v>0.76553735132366507</v>
      </c>
      <c r="G49">
        <v>1</v>
      </c>
      <c r="H49">
        <v>0.10176997632217026</v>
      </c>
      <c r="I49">
        <v>6.7728075669393983E-2</v>
      </c>
      <c r="J49">
        <v>4.3492716299240716E-2</v>
      </c>
      <c r="K49">
        <v>0.85885211526684502</v>
      </c>
      <c r="L49">
        <v>1</v>
      </c>
      <c r="M49">
        <v>0.11003188051337508</v>
      </c>
      <c r="N49">
        <v>6.7574609419998322E-2</v>
      </c>
      <c r="O49">
        <v>4.3704757428238115E-2</v>
      </c>
      <c r="P49">
        <v>0.58886104953860474</v>
      </c>
      <c r="Q49">
        <v>1</v>
      </c>
      <c r="R49">
        <v>8.0746922109429464E-2</v>
      </c>
      <c r="S49">
        <v>6.478535256187154E-2</v>
      </c>
      <c r="T49">
        <v>4.2071764202542467E-2</v>
      </c>
      <c r="U49">
        <v>0.61941132979194635</v>
      </c>
      <c r="V49">
        <v>1</v>
      </c>
      <c r="W49">
        <v>9.2508375337295487E-2</v>
      </c>
      <c r="X49">
        <v>6.5478662814726335E-2</v>
      </c>
      <c r="Y49">
        <v>4.2539209587403981E-2</v>
      </c>
      <c r="Z49">
        <v>0.650820611939677</v>
      </c>
      <c r="AA49">
        <v>1</v>
      </c>
      <c r="AB49">
        <v>9.778266803947179E-2</v>
      </c>
      <c r="AC49">
        <v>6.8221788432434358E-2</v>
      </c>
      <c r="AD49">
        <v>4.5092537957958111E-2</v>
      </c>
      <c r="AE49">
        <v>0.76953460274873353</v>
      </c>
      <c r="AF49">
        <v>1</v>
      </c>
      <c r="AG49">
        <v>0.10618015655265295</v>
      </c>
      <c r="AH49">
        <v>6.9150789247716574E-2</v>
      </c>
      <c r="AI49">
        <v>4.3570435938420062E-2</v>
      </c>
      <c r="AJ49">
        <v>0.70712387844999602</v>
      </c>
      <c r="AK49">
        <v>1</v>
      </c>
      <c r="AL49">
        <v>9.8460861504842095E-2</v>
      </c>
      <c r="AM49">
        <v>6.8448426325490974E-2</v>
      </c>
      <c r="AN49">
        <v>4.3727104643869558E-2</v>
      </c>
      <c r="AO49">
        <v>0.66836233997735717</v>
      </c>
      <c r="AP49">
        <v>1</v>
      </c>
      <c r="AQ49">
        <v>9.6033975669784111E-2</v>
      </c>
      <c r="AR49">
        <v>6.6490079358259679E-2</v>
      </c>
      <c r="AS49">
        <v>4.3532423230153848E-2</v>
      </c>
      <c r="AT49">
        <v>0.65546771048636931</v>
      </c>
      <c r="AU49">
        <v>1</v>
      </c>
      <c r="AV49">
        <v>9.8631772110794672E-2</v>
      </c>
      <c r="AW49">
        <v>6.8206115671159417E-2</v>
      </c>
      <c r="AX49">
        <v>4.3751436876700932E-2</v>
      </c>
      <c r="AY49">
        <v>0.76418710297931303</v>
      </c>
      <c r="AZ49">
        <v>1</v>
      </c>
      <c r="BA49">
        <v>0.10509273850051261</v>
      </c>
      <c r="BB49">
        <v>6.6902307375322947E-2</v>
      </c>
      <c r="BC49">
        <v>4.337631185160426E-2</v>
      </c>
      <c r="BD49">
        <v>0.65203949068199607</v>
      </c>
      <c r="BE49">
        <v>1</v>
      </c>
      <c r="BF49">
        <v>9.0969717255489316E-2</v>
      </c>
      <c r="BG49">
        <v>6.2671605553801912E-2</v>
      </c>
      <c r="BH49">
        <v>4.1460917774174141E-2</v>
      </c>
      <c r="BI49">
        <v>0.65037505529732131</v>
      </c>
      <c r="BJ49">
        <v>1</v>
      </c>
      <c r="BK49">
        <v>9.7455582582807232E-2</v>
      </c>
      <c r="BL49">
        <v>6.4309122228955254E-2</v>
      </c>
      <c r="BM49">
        <v>4.1984921858696359E-2</v>
      </c>
      <c r="BN49">
        <v>0.7598428291598559</v>
      </c>
      <c r="BO49">
        <v>1</v>
      </c>
      <c r="BP49">
        <v>0.11084212061159117</v>
      </c>
      <c r="BQ49">
        <v>6.6101702942847812E-2</v>
      </c>
      <c r="BR49">
        <v>4.4063641076526661E-2</v>
      </c>
    </row>
    <row r="50" spans="1:70" x14ac:dyDescent="0.15">
      <c r="A50">
        <v>0.736243130195676</v>
      </c>
      <c r="B50">
        <v>1</v>
      </c>
      <c r="C50">
        <v>0.10492070526290628</v>
      </c>
      <c r="D50">
        <v>6.8619017410255251E-2</v>
      </c>
      <c r="E50">
        <v>4.3939548271357445E-2</v>
      </c>
    </row>
    <row r="51" spans="1:70" x14ac:dyDescent="0.15">
      <c r="A51">
        <v>0.74556140042132613</v>
      </c>
      <c r="B51">
        <v>1</v>
      </c>
      <c r="C51">
        <v>0.10592338048944078</v>
      </c>
      <c r="D51">
        <v>6.9000581435262304E-2</v>
      </c>
      <c r="E51">
        <v>4.4293488411506758E-2</v>
      </c>
    </row>
    <row r="52" spans="1:70" x14ac:dyDescent="0.15">
      <c r="A52">
        <v>0.75259658764879178</v>
      </c>
      <c r="B52">
        <v>1</v>
      </c>
      <c r="C52">
        <v>9.9411180994786311E-2</v>
      </c>
      <c r="D52">
        <v>6.8909323262430711E-2</v>
      </c>
      <c r="E52">
        <v>4.438404418299112E-2</v>
      </c>
    </row>
    <row r="53" spans="1:70" x14ac:dyDescent="0.15">
      <c r="A53">
        <v>0.73617637317417683</v>
      </c>
      <c r="B53">
        <v>1</v>
      </c>
      <c r="C53">
        <v>0.10886346982916947</v>
      </c>
      <c r="D53">
        <v>6.79387010048636E-2</v>
      </c>
      <c r="E53">
        <v>4.3068475259422187E-2</v>
      </c>
    </row>
    <row r="54" spans="1:70" x14ac:dyDescent="0.15">
      <c r="A54">
        <v>0.72950175954545493</v>
      </c>
      <c r="B54">
        <v>1</v>
      </c>
      <c r="C54">
        <v>9.9199369697381329E-2</v>
      </c>
      <c r="D54">
        <v>6.7259788054567948E-2</v>
      </c>
      <c r="E54">
        <v>4.492545041121139E-2</v>
      </c>
    </row>
    <row r="55" spans="1:70" x14ac:dyDescent="0.15">
      <c r="A55">
        <v>0.75313149503810028</v>
      </c>
      <c r="B55">
        <v>1</v>
      </c>
      <c r="C55">
        <v>9.9998744898008654E-2</v>
      </c>
      <c r="D55">
        <v>6.8407623410489601E-2</v>
      </c>
      <c r="E55">
        <v>4.352407437599496E-2</v>
      </c>
    </row>
    <row r="56" spans="1:70" x14ac:dyDescent="0.15">
      <c r="A56">
        <v>0.75463882064038412</v>
      </c>
      <c r="B56">
        <v>1</v>
      </c>
      <c r="C56">
        <v>0.10464842880658319</v>
      </c>
      <c r="D56">
        <v>6.9131456199545527E-2</v>
      </c>
      <c r="E56">
        <v>4.4111931951791132E-2</v>
      </c>
    </row>
    <row r="57" spans="1:70" x14ac:dyDescent="0.15">
      <c r="A57">
        <v>0.75444200041341236</v>
      </c>
      <c r="B57">
        <v>1</v>
      </c>
      <c r="C57">
        <v>0.10052400702177521</v>
      </c>
      <c r="D57">
        <v>6.6799498331695087E-2</v>
      </c>
      <c r="E57">
        <v>4.4647400741300948E-2</v>
      </c>
    </row>
    <row r="58" spans="1:70" x14ac:dyDescent="0.15">
      <c r="A58">
        <v>0.75174250675189469</v>
      </c>
      <c r="B58">
        <v>1</v>
      </c>
      <c r="C58">
        <v>9.8690259530242103E-2</v>
      </c>
      <c r="D58">
        <v>6.9121703015129099E-2</v>
      </c>
      <c r="E58">
        <v>4.4684136994710001E-2</v>
      </c>
    </row>
    <row r="59" spans="1:70" x14ac:dyDescent="0.15">
      <c r="A59">
        <v>0.74915913957295366</v>
      </c>
      <c r="B59">
        <v>1</v>
      </c>
      <c r="C59">
        <v>0.10566943618021495</v>
      </c>
      <c r="D59">
        <v>6.8516358010227665E-2</v>
      </c>
      <c r="E59">
        <v>4.4723705694926591E-2</v>
      </c>
    </row>
    <row r="60" spans="1:70" x14ac:dyDescent="0.15">
      <c r="A60">
        <v>0.74608688198190043</v>
      </c>
      <c r="B60">
        <v>1</v>
      </c>
      <c r="C60">
        <v>0.10088017777521383</v>
      </c>
      <c r="D60">
        <v>6.8878428741630221E-2</v>
      </c>
      <c r="E60">
        <v>4.4711030773415844E-2</v>
      </c>
    </row>
    <row r="61" spans="1:70" x14ac:dyDescent="0.15">
      <c r="A61">
        <v>0.74835031521678452</v>
      </c>
      <c r="B61">
        <v>1</v>
      </c>
      <c r="C61">
        <v>0.10285511226308169</v>
      </c>
      <c r="D61">
        <v>6.9265030602324015E-2</v>
      </c>
      <c r="E61">
        <v>4.4162391220305165E-2</v>
      </c>
    </row>
    <row r="62" spans="1:70" x14ac:dyDescent="0.15">
      <c r="A62">
        <v>0.75854009817302426</v>
      </c>
      <c r="B62">
        <v>1</v>
      </c>
      <c r="C62">
        <v>0.10421112892198002</v>
      </c>
      <c r="D62">
        <v>7.0269400345615199E-2</v>
      </c>
      <c r="E62">
        <v>4.3678550997599E-2</v>
      </c>
    </row>
    <row r="63" spans="1:70" x14ac:dyDescent="0.15">
      <c r="A63">
        <v>0.74795983581776071</v>
      </c>
      <c r="B63">
        <v>1</v>
      </c>
      <c r="C63">
        <v>0.10157034142344216</v>
      </c>
      <c r="D63">
        <v>6.8832457494689789E-2</v>
      </c>
      <c r="E63">
        <v>4.3829832639541814E-2</v>
      </c>
    </row>
    <row r="64" spans="1:70" x14ac:dyDescent="0.15">
      <c r="A64">
        <v>0.75325577767567709</v>
      </c>
      <c r="B64">
        <v>1</v>
      </c>
      <c r="C64">
        <v>0.10648894917509812</v>
      </c>
      <c r="D64">
        <v>7.0491979553535769E-2</v>
      </c>
      <c r="E64">
        <v>4.3728099210867989E-2</v>
      </c>
    </row>
    <row r="65" spans="1:5" x14ac:dyDescent="0.15">
      <c r="A65">
        <v>0.75156025328128662</v>
      </c>
      <c r="B65">
        <v>1</v>
      </c>
      <c r="C65">
        <v>0.1094050837116083</v>
      </c>
      <c r="D65">
        <v>7.067484766680554E-2</v>
      </c>
      <c r="E65">
        <v>4.4721809393023795E-2</v>
      </c>
    </row>
    <row r="66" spans="1:5" x14ac:dyDescent="0.15">
      <c r="A66">
        <v>0.75136412165236666</v>
      </c>
      <c r="B66">
        <v>1</v>
      </c>
      <c r="C66">
        <v>0.10302026503907778</v>
      </c>
      <c r="D66">
        <v>6.9526030160665594E-2</v>
      </c>
      <c r="E66">
        <v>4.2726332513117367E-2</v>
      </c>
    </row>
    <row r="67" spans="1:5" x14ac:dyDescent="0.15">
      <c r="A67">
        <v>0.75710361170248319</v>
      </c>
      <c r="B67">
        <v>1</v>
      </c>
      <c r="C67">
        <v>0.1047861459538655</v>
      </c>
      <c r="D67">
        <v>6.8960470503379237E-2</v>
      </c>
      <c r="E67">
        <v>4.575902270092122E-2</v>
      </c>
    </row>
    <row r="68" spans="1:5" x14ac:dyDescent="0.15">
      <c r="A68">
        <v>0.74437544012654111</v>
      </c>
      <c r="B68">
        <v>1</v>
      </c>
      <c r="C68">
        <v>0.10370964699279639</v>
      </c>
      <c r="D68">
        <v>6.8267116984824738E-2</v>
      </c>
      <c r="E68">
        <v>4.5204427791992227E-2</v>
      </c>
    </row>
    <row r="69" spans="1:5" x14ac:dyDescent="0.15">
      <c r="A69">
        <v>0.76524068011342639</v>
      </c>
      <c r="B69">
        <v>1</v>
      </c>
      <c r="C69">
        <v>0.10364676169180123</v>
      </c>
      <c r="D69">
        <v>6.8812344516502907E-2</v>
      </c>
      <c r="E69">
        <v>4.5301257721304458E-2</v>
      </c>
    </row>
    <row r="70" spans="1:5" x14ac:dyDescent="0.15">
      <c r="A70">
        <v>0.75262133170681111</v>
      </c>
      <c r="B70">
        <v>1</v>
      </c>
      <c r="C70">
        <v>0.1031446896295357</v>
      </c>
      <c r="D70">
        <v>6.954848767306239E-2</v>
      </c>
      <c r="E70">
        <v>4.4968421080599633E-2</v>
      </c>
    </row>
  </sheetData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8"/>
  <dimension ref="A1:BR70"/>
  <sheetViews>
    <sheetView zoomScale="85" workbookViewId="0">
      <selection sqref="A1:IV30"/>
    </sheetView>
  </sheetViews>
  <sheetFormatPr baseColWidth="10" defaultColWidth="8.83203125" defaultRowHeight="13" x14ac:dyDescent="0.15"/>
  <cols>
    <col min="1" max="5" width="8.83203125" customWidth="1"/>
    <col min="6" max="10" width="9.1640625" style="36" customWidth="1"/>
    <col min="11" max="15" width="8.83203125" customWidth="1"/>
    <col min="16" max="16" width="9.1640625" style="36" customWidth="1"/>
    <col min="17" max="17" width="8.83203125" style="36" customWidth="1"/>
    <col min="18" max="18" width="9.1640625" style="36" customWidth="1"/>
    <col min="19" max="19" width="8.83203125" style="36" customWidth="1"/>
    <col min="20" max="20" width="9.1640625" style="36" customWidth="1"/>
    <col min="21" max="25" width="8.83203125" customWidth="1"/>
    <col min="26" max="30" width="9.1640625" style="36" customWidth="1"/>
    <col min="31" max="35" width="8.83203125" customWidth="1"/>
    <col min="36" max="40" width="9.1640625" style="36" customWidth="1"/>
    <col min="41" max="45" width="8.83203125" customWidth="1"/>
    <col min="46" max="50" width="9.1640625" style="36" customWidth="1"/>
    <col min="56" max="60" width="8.83203125" style="36"/>
    <col min="66" max="70" width="8.83203125" style="36"/>
  </cols>
  <sheetData>
    <row r="1" spans="1:70" x14ac:dyDescent="0.15">
      <c r="A1">
        <v>441.76</v>
      </c>
      <c r="B1">
        <v>443.68</v>
      </c>
      <c r="C1">
        <v>446.64</v>
      </c>
      <c r="D1">
        <v>449.6</v>
      </c>
      <c r="E1">
        <v>451.36</v>
      </c>
      <c r="F1" s="36">
        <v>19.52</v>
      </c>
      <c r="G1" s="36">
        <v>21.44</v>
      </c>
      <c r="H1" s="36">
        <v>24.4</v>
      </c>
      <c r="I1" s="36">
        <v>27.36</v>
      </c>
      <c r="J1" s="36">
        <v>29.12</v>
      </c>
      <c r="K1">
        <v>19.52</v>
      </c>
      <c r="L1">
        <v>21.44</v>
      </c>
      <c r="M1">
        <v>24.4</v>
      </c>
      <c r="N1">
        <v>27.36</v>
      </c>
      <c r="O1">
        <v>29.12</v>
      </c>
      <c r="P1" s="36">
        <v>19.52</v>
      </c>
      <c r="Q1" s="36">
        <v>21.44</v>
      </c>
      <c r="R1" s="36">
        <v>24.4</v>
      </c>
      <c r="S1" s="36">
        <v>27.36</v>
      </c>
      <c r="T1" s="36">
        <v>29.12</v>
      </c>
      <c r="U1">
        <v>19.52</v>
      </c>
      <c r="V1">
        <v>21.44</v>
      </c>
      <c r="W1">
        <v>24.4</v>
      </c>
      <c r="X1">
        <v>27.36</v>
      </c>
      <c r="Y1">
        <v>29.12</v>
      </c>
      <c r="Z1" s="36">
        <v>19.52</v>
      </c>
      <c r="AA1" s="36">
        <v>21.44</v>
      </c>
      <c r="AB1" s="36">
        <v>24.4</v>
      </c>
      <c r="AC1" s="36">
        <v>27.36</v>
      </c>
      <c r="AD1" s="36">
        <v>29.12</v>
      </c>
      <c r="AE1">
        <v>19.52</v>
      </c>
      <c r="AF1">
        <v>21.44</v>
      </c>
      <c r="AG1">
        <v>24.4</v>
      </c>
      <c r="AH1">
        <v>27.36</v>
      </c>
      <c r="AI1">
        <v>29.12</v>
      </c>
      <c r="AJ1" s="36">
        <v>19.52</v>
      </c>
      <c r="AK1" s="36">
        <v>21.44</v>
      </c>
      <c r="AL1" s="36">
        <v>24.4</v>
      </c>
      <c r="AM1" s="36">
        <v>27.36</v>
      </c>
      <c r="AN1" s="36">
        <v>29.12</v>
      </c>
      <c r="AO1">
        <v>19.52</v>
      </c>
      <c r="AP1">
        <v>21.44</v>
      </c>
      <c r="AQ1">
        <v>24.4</v>
      </c>
      <c r="AR1">
        <v>27.36</v>
      </c>
      <c r="AS1">
        <v>29.12</v>
      </c>
      <c r="AT1" s="36">
        <v>19.52</v>
      </c>
      <c r="AU1" s="36">
        <v>21.44</v>
      </c>
      <c r="AV1" s="36">
        <v>24.4</v>
      </c>
      <c r="AW1" s="36">
        <v>27.36</v>
      </c>
      <c r="AX1" s="36">
        <v>29.12</v>
      </c>
      <c r="AY1">
        <v>19.52</v>
      </c>
      <c r="AZ1">
        <v>21.44</v>
      </c>
      <c r="BA1">
        <v>24.4</v>
      </c>
      <c r="BB1">
        <v>27.36</v>
      </c>
      <c r="BC1">
        <v>29.12</v>
      </c>
      <c r="BD1" s="36">
        <v>19.52</v>
      </c>
      <c r="BE1" s="36">
        <v>21.44</v>
      </c>
      <c r="BF1" s="36">
        <v>24.4</v>
      </c>
      <c r="BG1" s="36">
        <v>27.36</v>
      </c>
      <c r="BH1" s="36">
        <v>29.12</v>
      </c>
      <c r="BI1">
        <v>19.52</v>
      </c>
      <c r="BJ1">
        <v>21.44</v>
      </c>
      <c r="BK1">
        <v>24.4</v>
      </c>
      <c r="BL1">
        <v>27.36</v>
      </c>
      <c r="BM1">
        <v>29.12</v>
      </c>
      <c r="BN1" s="36">
        <v>19.52</v>
      </c>
      <c r="BO1" s="36">
        <v>21.44</v>
      </c>
      <c r="BP1" s="36">
        <v>24.4</v>
      </c>
      <c r="BQ1" s="36">
        <v>27.36</v>
      </c>
      <c r="BR1" s="36">
        <v>29.12</v>
      </c>
    </row>
    <row r="2" spans="1:70" x14ac:dyDescent="0.15">
      <c r="A2">
        <v>456.32</v>
      </c>
      <c r="B2">
        <v>458.24</v>
      </c>
      <c r="C2">
        <v>461.2</v>
      </c>
      <c r="D2">
        <v>464.16</v>
      </c>
      <c r="E2">
        <v>465.92</v>
      </c>
      <c r="F2" s="36">
        <v>34.08</v>
      </c>
      <c r="G2" s="36">
        <v>36</v>
      </c>
      <c r="H2" s="36">
        <v>38.96</v>
      </c>
      <c r="I2" s="36">
        <v>41.92</v>
      </c>
      <c r="J2" s="36">
        <v>43.68</v>
      </c>
      <c r="K2">
        <v>34.08</v>
      </c>
      <c r="L2">
        <v>36</v>
      </c>
      <c r="M2">
        <v>38.96</v>
      </c>
      <c r="N2">
        <v>41.92</v>
      </c>
      <c r="O2">
        <v>43.68</v>
      </c>
      <c r="P2" s="36">
        <v>34.08</v>
      </c>
      <c r="Q2" s="36">
        <v>36</v>
      </c>
      <c r="R2" s="36">
        <v>38.96</v>
      </c>
      <c r="S2" s="36">
        <v>41.92</v>
      </c>
      <c r="T2" s="36">
        <v>43.68</v>
      </c>
      <c r="U2">
        <v>34.08</v>
      </c>
      <c r="V2">
        <v>36</v>
      </c>
      <c r="W2">
        <v>38.96</v>
      </c>
      <c r="X2">
        <v>41.92</v>
      </c>
      <c r="Y2">
        <v>43.68</v>
      </c>
      <c r="Z2" s="36">
        <v>34.08</v>
      </c>
      <c r="AA2" s="36">
        <v>36</v>
      </c>
      <c r="AB2" s="36">
        <v>38.96</v>
      </c>
      <c r="AC2" s="36">
        <v>41.92</v>
      </c>
      <c r="AD2" s="36">
        <v>43.68</v>
      </c>
      <c r="AE2">
        <v>34.08</v>
      </c>
      <c r="AF2">
        <v>36</v>
      </c>
      <c r="AG2">
        <v>38.96</v>
      </c>
      <c r="AH2">
        <v>41.92</v>
      </c>
      <c r="AI2">
        <v>43.68</v>
      </c>
      <c r="AJ2" s="36">
        <v>34.08</v>
      </c>
      <c r="AK2" s="36">
        <v>36</v>
      </c>
      <c r="AL2" s="36">
        <v>38.96</v>
      </c>
      <c r="AM2" s="36">
        <v>41.92</v>
      </c>
      <c r="AN2" s="36">
        <v>43.68</v>
      </c>
      <c r="AO2">
        <v>34.08</v>
      </c>
      <c r="AP2">
        <v>36</v>
      </c>
      <c r="AQ2">
        <v>38.96</v>
      </c>
      <c r="AR2">
        <v>41.92</v>
      </c>
      <c r="AS2">
        <v>43.68</v>
      </c>
      <c r="AT2" s="36">
        <v>34.08</v>
      </c>
      <c r="AU2" s="36">
        <v>36</v>
      </c>
      <c r="AV2" s="36">
        <v>38.96</v>
      </c>
      <c r="AW2" s="36">
        <v>41.92</v>
      </c>
      <c r="AX2" s="36">
        <v>43.68</v>
      </c>
      <c r="AY2">
        <v>34.08</v>
      </c>
      <c r="AZ2">
        <v>36</v>
      </c>
      <c r="BA2">
        <v>38.96</v>
      </c>
      <c r="BB2">
        <v>41.92</v>
      </c>
      <c r="BC2">
        <v>43.68</v>
      </c>
      <c r="BD2" s="36">
        <v>34.08</v>
      </c>
      <c r="BE2" s="36">
        <v>36</v>
      </c>
      <c r="BF2" s="36">
        <v>38.96</v>
      </c>
      <c r="BG2" s="36">
        <v>41.92</v>
      </c>
      <c r="BH2" s="36">
        <v>43.68</v>
      </c>
      <c r="BI2">
        <v>34.08</v>
      </c>
      <c r="BJ2">
        <v>36</v>
      </c>
      <c r="BK2">
        <v>38.96</v>
      </c>
      <c r="BL2">
        <v>41.92</v>
      </c>
      <c r="BM2">
        <v>43.68</v>
      </c>
      <c r="BN2" s="36">
        <v>34.08</v>
      </c>
      <c r="BO2" s="36">
        <v>36</v>
      </c>
      <c r="BP2" s="36">
        <v>38.96</v>
      </c>
      <c r="BQ2" s="36">
        <v>41.92</v>
      </c>
      <c r="BR2" s="36">
        <v>43.68</v>
      </c>
    </row>
    <row r="3" spans="1:70" x14ac:dyDescent="0.15">
      <c r="A3">
        <v>470.88</v>
      </c>
      <c r="B3">
        <v>472.8</v>
      </c>
      <c r="C3">
        <v>475.76</v>
      </c>
      <c r="D3">
        <v>478.72</v>
      </c>
      <c r="E3">
        <v>480.48</v>
      </c>
      <c r="F3" s="36">
        <v>48.64</v>
      </c>
      <c r="G3" s="36">
        <v>50.56</v>
      </c>
      <c r="H3" s="36">
        <v>53.52</v>
      </c>
      <c r="I3" s="36">
        <v>56.48</v>
      </c>
      <c r="J3" s="36">
        <v>58.24</v>
      </c>
      <c r="K3">
        <v>48.64</v>
      </c>
      <c r="L3">
        <v>50.56</v>
      </c>
      <c r="M3">
        <v>53.52</v>
      </c>
      <c r="N3">
        <v>56.48</v>
      </c>
      <c r="O3">
        <v>58.24</v>
      </c>
      <c r="P3" s="36">
        <v>48.64</v>
      </c>
      <c r="Q3" s="36">
        <v>50.56</v>
      </c>
      <c r="R3" s="36">
        <v>53.52</v>
      </c>
      <c r="S3" s="36">
        <v>56.48</v>
      </c>
      <c r="T3" s="36">
        <v>58.24</v>
      </c>
      <c r="U3">
        <v>48.64</v>
      </c>
      <c r="V3">
        <v>50.56</v>
      </c>
      <c r="W3">
        <v>53.52</v>
      </c>
      <c r="X3">
        <v>56.48</v>
      </c>
      <c r="Y3">
        <v>58.24</v>
      </c>
      <c r="Z3" s="36">
        <v>48.64</v>
      </c>
      <c r="AA3" s="36">
        <v>50.56</v>
      </c>
      <c r="AB3" s="36">
        <v>53.52</v>
      </c>
      <c r="AC3" s="36">
        <v>56.48</v>
      </c>
      <c r="AD3" s="36">
        <v>58.24</v>
      </c>
      <c r="AE3">
        <v>48.64</v>
      </c>
      <c r="AF3">
        <v>50.56</v>
      </c>
      <c r="AG3">
        <v>53.52</v>
      </c>
      <c r="AH3">
        <v>56.48</v>
      </c>
      <c r="AI3">
        <v>58.24</v>
      </c>
      <c r="AJ3" s="36">
        <v>48.64</v>
      </c>
      <c r="AK3" s="36">
        <v>50.56</v>
      </c>
      <c r="AL3" s="36">
        <v>53.52</v>
      </c>
      <c r="AM3" s="36">
        <v>56.48</v>
      </c>
      <c r="AN3" s="36">
        <v>58.24</v>
      </c>
      <c r="AO3">
        <v>48.64</v>
      </c>
      <c r="AP3">
        <v>50.56</v>
      </c>
      <c r="AQ3">
        <v>53.52</v>
      </c>
      <c r="AR3">
        <v>56.48</v>
      </c>
      <c r="AS3">
        <v>58.24</v>
      </c>
      <c r="AT3" s="36">
        <v>48.64</v>
      </c>
      <c r="AU3" s="36">
        <v>50.56</v>
      </c>
      <c r="AV3" s="36">
        <v>53.52</v>
      </c>
      <c r="AW3" s="36">
        <v>56.48</v>
      </c>
      <c r="AX3" s="36">
        <v>58.24</v>
      </c>
      <c r="AY3">
        <v>48.64</v>
      </c>
      <c r="AZ3">
        <v>50.56</v>
      </c>
      <c r="BA3">
        <v>53.52</v>
      </c>
      <c r="BB3">
        <v>56.48</v>
      </c>
      <c r="BC3">
        <v>58.24</v>
      </c>
      <c r="BD3" s="36">
        <v>48.64</v>
      </c>
      <c r="BE3" s="36">
        <v>50.56</v>
      </c>
      <c r="BF3" s="36">
        <v>53.52</v>
      </c>
      <c r="BG3" s="36">
        <v>56.48</v>
      </c>
      <c r="BH3" s="36">
        <v>58.24</v>
      </c>
      <c r="BI3">
        <v>48.64</v>
      </c>
      <c r="BJ3">
        <v>50.56</v>
      </c>
      <c r="BK3">
        <v>53.52</v>
      </c>
      <c r="BL3">
        <v>56.48</v>
      </c>
      <c r="BM3">
        <v>58.24</v>
      </c>
      <c r="BN3" s="36">
        <v>48.64</v>
      </c>
      <c r="BO3" s="36">
        <v>50.56</v>
      </c>
      <c r="BP3" s="36">
        <v>53.52</v>
      </c>
      <c r="BQ3" s="36">
        <v>56.48</v>
      </c>
      <c r="BR3" s="36">
        <v>58.24</v>
      </c>
    </row>
    <row r="4" spans="1:70" x14ac:dyDescent="0.15">
      <c r="A4">
        <v>485.44</v>
      </c>
      <c r="B4">
        <v>487.36</v>
      </c>
      <c r="C4">
        <v>490.32</v>
      </c>
      <c r="D4">
        <v>493.28</v>
      </c>
      <c r="E4">
        <v>495.04</v>
      </c>
      <c r="F4" s="36">
        <v>63.2</v>
      </c>
      <c r="G4" s="36">
        <v>65.12</v>
      </c>
      <c r="H4" s="36">
        <v>68.08</v>
      </c>
      <c r="I4" s="36">
        <v>71.040000000000006</v>
      </c>
      <c r="J4" s="36">
        <v>72.8</v>
      </c>
      <c r="K4">
        <v>63.2</v>
      </c>
      <c r="L4">
        <v>65.12</v>
      </c>
      <c r="M4">
        <v>68.08</v>
      </c>
      <c r="N4">
        <v>71.040000000000006</v>
      </c>
      <c r="O4">
        <v>72.8</v>
      </c>
      <c r="P4" s="36">
        <v>63.2</v>
      </c>
      <c r="Q4" s="36">
        <v>65.12</v>
      </c>
      <c r="R4" s="36">
        <v>68.08</v>
      </c>
      <c r="S4" s="36">
        <v>71.040000000000006</v>
      </c>
      <c r="T4" s="36">
        <v>72.8</v>
      </c>
      <c r="U4">
        <v>63.2</v>
      </c>
      <c r="V4">
        <v>65.12</v>
      </c>
      <c r="W4">
        <v>68.08</v>
      </c>
      <c r="X4">
        <v>71.040000000000006</v>
      </c>
      <c r="Y4">
        <v>72.8</v>
      </c>
      <c r="Z4" s="36">
        <v>63.2</v>
      </c>
      <c r="AA4" s="36">
        <v>65.12</v>
      </c>
      <c r="AB4" s="36">
        <v>68.08</v>
      </c>
      <c r="AC4" s="36">
        <v>71.040000000000006</v>
      </c>
      <c r="AD4" s="36">
        <v>72.8</v>
      </c>
      <c r="AE4">
        <v>63.2</v>
      </c>
      <c r="AF4">
        <v>65.12</v>
      </c>
      <c r="AG4">
        <v>68.08</v>
      </c>
      <c r="AH4">
        <v>71.040000000000006</v>
      </c>
      <c r="AI4">
        <v>72.8</v>
      </c>
      <c r="AJ4" s="36">
        <v>63.2</v>
      </c>
      <c r="AK4" s="36">
        <v>65.12</v>
      </c>
      <c r="AL4" s="36">
        <v>68.08</v>
      </c>
      <c r="AM4" s="36">
        <v>71.040000000000006</v>
      </c>
      <c r="AN4" s="36">
        <v>72.8</v>
      </c>
      <c r="AO4">
        <v>63.2</v>
      </c>
      <c r="AP4">
        <v>65.12</v>
      </c>
      <c r="AQ4">
        <v>68.08</v>
      </c>
      <c r="AR4">
        <v>71.040000000000006</v>
      </c>
      <c r="AS4">
        <v>72.8</v>
      </c>
      <c r="AT4" s="36">
        <v>63.2</v>
      </c>
      <c r="AU4" s="36">
        <v>65.12</v>
      </c>
      <c r="AV4" s="36">
        <v>68.08</v>
      </c>
      <c r="AW4" s="36">
        <v>71.040000000000006</v>
      </c>
      <c r="AX4" s="36">
        <v>72.8</v>
      </c>
      <c r="AY4">
        <v>63.2</v>
      </c>
      <c r="AZ4">
        <v>65.12</v>
      </c>
      <c r="BA4">
        <v>68.08</v>
      </c>
      <c r="BB4">
        <v>71.040000000000006</v>
      </c>
      <c r="BC4">
        <v>72.8</v>
      </c>
      <c r="BD4" s="36">
        <v>63.2</v>
      </c>
      <c r="BE4" s="36">
        <v>65.12</v>
      </c>
      <c r="BF4" s="36">
        <v>68.08</v>
      </c>
      <c r="BG4" s="36">
        <v>71.040000000000006</v>
      </c>
      <c r="BH4" s="36">
        <v>72.8</v>
      </c>
      <c r="BI4">
        <v>63.2</v>
      </c>
      <c r="BJ4">
        <v>65.12</v>
      </c>
      <c r="BK4">
        <v>68.08</v>
      </c>
      <c r="BL4">
        <v>71.040000000000006</v>
      </c>
      <c r="BM4">
        <v>72.8</v>
      </c>
      <c r="BN4" s="36">
        <v>63.2</v>
      </c>
      <c r="BO4" s="36">
        <v>65.12</v>
      </c>
      <c r="BP4" s="36">
        <v>68.08</v>
      </c>
      <c r="BQ4" s="36">
        <v>71.040000000000006</v>
      </c>
      <c r="BR4" s="36">
        <v>72.8</v>
      </c>
    </row>
    <row r="5" spans="1:70" x14ac:dyDescent="0.15">
      <c r="A5">
        <v>500</v>
      </c>
      <c r="B5">
        <v>501.92</v>
      </c>
      <c r="C5">
        <v>504.88</v>
      </c>
      <c r="D5">
        <v>507.84</v>
      </c>
      <c r="E5">
        <v>509.6</v>
      </c>
      <c r="F5" s="36">
        <v>77.760000000000005</v>
      </c>
      <c r="G5" s="36">
        <v>79.680000000000007</v>
      </c>
      <c r="H5" s="36">
        <v>82.64</v>
      </c>
      <c r="I5" s="36">
        <v>85.6</v>
      </c>
      <c r="J5" s="36">
        <v>87.36</v>
      </c>
      <c r="K5">
        <v>77.760000000000005</v>
      </c>
      <c r="L5">
        <v>79.680000000000007</v>
      </c>
      <c r="M5">
        <v>82.64</v>
      </c>
      <c r="N5">
        <v>85.6</v>
      </c>
      <c r="O5">
        <v>87.36</v>
      </c>
      <c r="P5" s="36">
        <v>77.760000000000005</v>
      </c>
      <c r="Q5" s="36">
        <v>79.680000000000007</v>
      </c>
      <c r="R5" s="36">
        <v>82.64</v>
      </c>
      <c r="S5" s="36">
        <v>85.6</v>
      </c>
      <c r="T5" s="36">
        <v>87.36</v>
      </c>
      <c r="U5">
        <v>77.760000000000005</v>
      </c>
      <c r="V5">
        <v>79.680000000000007</v>
      </c>
      <c r="W5">
        <v>82.64</v>
      </c>
      <c r="X5">
        <v>85.6</v>
      </c>
      <c r="Y5">
        <v>87.36</v>
      </c>
      <c r="Z5" s="36">
        <v>77.760000000000005</v>
      </c>
      <c r="AA5" s="36">
        <v>79.680000000000007</v>
      </c>
      <c r="AB5" s="36">
        <v>82.64</v>
      </c>
      <c r="AC5" s="36">
        <v>85.6</v>
      </c>
      <c r="AD5" s="36">
        <v>87.36</v>
      </c>
      <c r="AE5">
        <v>77.760000000000005</v>
      </c>
      <c r="AF5">
        <v>79.680000000000007</v>
      </c>
      <c r="AG5">
        <v>82.64</v>
      </c>
      <c r="AH5">
        <v>85.6</v>
      </c>
      <c r="AI5">
        <v>87.36</v>
      </c>
      <c r="AJ5" s="36">
        <v>77.760000000000005</v>
      </c>
      <c r="AK5" s="36">
        <v>79.680000000000007</v>
      </c>
      <c r="AL5" s="36">
        <v>82.64</v>
      </c>
      <c r="AM5" s="36">
        <v>85.6</v>
      </c>
      <c r="AN5" s="36">
        <v>87.36</v>
      </c>
      <c r="AO5">
        <v>77.760000000000005</v>
      </c>
      <c r="AP5">
        <v>79.680000000000007</v>
      </c>
      <c r="AQ5">
        <v>82.64</v>
      </c>
      <c r="AR5">
        <v>85.6</v>
      </c>
      <c r="AS5">
        <v>87.36</v>
      </c>
      <c r="AT5" s="36">
        <v>77.760000000000005</v>
      </c>
      <c r="AU5" s="36">
        <v>79.680000000000007</v>
      </c>
      <c r="AV5" s="36">
        <v>82.64</v>
      </c>
      <c r="AW5" s="36">
        <v>85.6</v>
      </c>
      <c r="AX5" s="36">
        <v>87.36</v>
      </c>
      <c r="AY5">
        <v>77.760000000000005</v>
      </c>
      <c r="AZ5">
        <v>79.680000000000007</v>
      </c>
      <c r="BA5">
        <v>82.64</v>
      </c>
      <c r="BB5">
        <v>85.6</v>
      </c>
      <c r="BC5">
        <v>87.36</v>
      </c>
      <c r="BD5" s="36">
        <v>77.760000000000005</v>
      </c>
      <c r="BE5" s="36">
        <v>79.680000000000007</v>
      </c>
      <c r="BF5" s="36">
        <v>82.64</v>
      </c>
      <c r="BG5" s="36">
        <v>85.6</v>
      </c>
      <c r="BH5" s="36">
        <v>87.36</v>
      </c>
      <c r="BI5">
        <v>77.760000000000005</v>
      </c>
      <c r="BJ5">
        <v>79.680000000000007</v>
      </c>
      <c r="BK5">
        <v>82.64</v>
      </c>
      <c r="BL5">
        <v>85.6</v>
      </c>
      <c r="BM5">
        <v>87.36</v>
      </c>
      <c r="BN5" s="36">
        <v>77.760000000000005</v>
      </c>
      <c r="BO5" s="36">
        <v>79.680000000000007</v>
      </c>
      <c r="BP5" s="36">
        <v>82.64</v>
      </c>
      <c r="BQ5" s="36">
        <v>85.6</v>
      </c>
      <c r="BR5" s="36">
        <v>87.36</v>
      </c>
    </row>
    <row r="6" spans="1:70" x14ac:dyDescent="0.15">
      <c r="A6">
        <v>514.55999999999995</v>
      </c>
      <c r="B6">
        <v>516.48</v>
      </c>
      <c r="C6">
        <v>519.44000000000005</v>
      </c>
      <c r="D6">
        <v>522.4</v>
      </c>
      <c r="E6">
        <v>524.16</v>
      </c>
      <c r="F6" s="36">
        <v>92.32</v>
      </c>
      <c r="G6" s="36">
        <v>94.24</v>
      </c>
      <c r="H6" s="36">
        <v>97.2</v>
      </c>
      <c r="I6" s="36">
        <v>100.16</v>
      </c>
      <c r="J6" s="36">
        <v>101.92</v>
      </c>
      <c r="K6">
        <v>92.32</v>
      </c>
      <c r="L6">
        <v>94.24</v>
      </c>
      <c r="M6">
        <v>97.2</v>
      </c>
      <c r="N6">
        <v>100.16</v>
      </c>
      <c r="O6">
        <v>101.92</v>
      </c>
      <c r="P6" s="36">
        <v>92.32</v>
      </c>
      <c r="Q6" s="36">
        <v>94.24</v>
      </c>
      <c r="R6" s="36">
        <v>97.2</v>
      </c>
      <c r="S6" s="36">
        <v>100.16</v>
      </c>
      <c r="T6" s="36">
        <v>101.92</v>
      </c>
      <c r="U6">
        <v>92.32</v>
      </c>
      <c r="V6">
        <v>94.24</v>
      </c>
      <c r="W6">
        <v>97.2</v>
      </c>
      <c r="X6">
        <v>100.16</v>
      </c>
      <c r="Y6">
        <v>101.92</v>
      </c>
      <c r="Z6" s="36">
        <v>92.32</v>
      </c>
      <c r="AA6" s="36">
        <v>94.24</v>
      </c>
      <c r="AB6" s="36">
        <v>97.2</v>
      </c>
      <c r="AC6" s="36">
        <v>100.16</v>
      </c>
      <c r="AD6" s="36">
        <v>101.92</v>
      </c>
      <c r="AE6">
        <v>92.32</v>
      </c>
      <c r="AF6">
        <v>94.24</v>
      </c>
      <c r="AG6">
        <v>97.2</v>
      </c>
      <c r="AH6">
        <v>100.16</v>
      </c>
      <c r="AI6">
        <v>101.92</v>
      </c>
      <c r="AJ6" s="36">
        <v>92.32</v>
      </c>
      <c r="AK6" s="36">
        <v>94.24</v>
      </c>
      <c r="AL6" s="36">
        <v>97.2</v>
      </c>
      <c r="AM6" s="36">
        <v>100.16</v>
      </c>
      <c r="AN6" s="36">
        <v>101.92</v>
      </c>
      <c r="AO6">
        <v>92.32</v>
      </c>
      <c r="AP6">
        <v>94.24</v>
      </c>
      <c r="AQ6">
        <v>97.2</v>
      </c>
      <c r="AR6">
        <v>100.16</v>
      </c>
      <c r="AS6">
        <v>101.92</v>
      </c>
      <c r="AT6" s="36">
        <v>92.32</v>
      </c>
      <c r="AU6" s="36">
        <v>94.24</v>
      </c>
      <c r="AV6" s="36">
        <v>97.2</v>
      </c>
      <c r="AW6" s="36">
        <v>100.16</v>
      </c>
      <c r="AX6" s="36">
        <v>101.92</v>
      </c>
      <c r="AY6">
        <v>92.32</v>
      </c>
      <c r="AZ6">
        <v>94.24</v>
      </c>
      <c r="BA6">
        <v>97.2</v>
      </c>
      <c r="BB6">
        <v>100.16</v>
      </c>
      <c r="BC6">
        <v>101.92</v>
      </c>
      <c r="BD6" s="36">
        <v>92.32</v>
      </c>
      <c r="BE6" s="36">
        <v>94.24</v>
      </c>
      <c r="BF6" s="36">
        <v>97.2</v>
      </c>
      <c r="BG6" s="36">
        <v>100.16</v>
      </c>
      <c r="BH6" s="36">
        <v>101.92</v>
      </c>
      <c r="BI6">
        <v>92.32</v>
      </c>
      <c r="BJ6">
        <v>94.24</v>
      </c>
      <c r="BK6">
        <v>97.2</v>
      </c>
      <c r="BL6">
        <v>100.16</v>
      </c>
      <c r="BM6">
        <v>101.92</v>
      </c>
      <c r="BN6" s="36">
        <v>92.32</v>
      </c>
      <c r="BO6" s="36">
        <v>94.24</v>
      </c>
      <c r="BP6" s="36">
        <v>97.2</v>
      </c>
      <c r="BQ6" s="36">
        <v>100.16</v>
      </c>
      <c r="BR6" s="36">
        <v>101.92</v>
      </c>
    </row>
    <row r="7" spans="1:70" x14ac:dyDescent="0.15">
      <c r="A7">
        <v>529.12</v>
      </c>
      <c r="B7">
        <v>531.04</v>
      </c>
      <c r="C7">
        <v>534</v>
      </c>
      <c r="D7">
        <v>536.96</v>
      </c>
      <c r="E7">
        <v>538.72</v>
      </c>
      <c r="F7" s="36">
        <v>106.88</v>
      </c>
      <c r="G7" s="36">
        <v>108.8</v>
      </c>
      <c r="H7" s="36">
        <v>111.76</v>
      </c>
      <c r="I7" s="36">
        <v>114.72</v>
      </c>
      <c r="J7" s="36">
        <v>116.48</v>
      </c>
      <c r="K7">
        <v>106.88</v>
      </c>
      <c r="L7">
        <v>108.8</v>
      </c>
      <c r="M7">
        <v>111.76</v>
      </c>
      <c r="N7">
        <v>114.72</v>
      </c>
      <c r="O7">
        <v>116.48</v>
      </c>
      <c r="P7" s="36">
        <v>106.88</v>
      </c>
      <c r="Q7" s="36">
        <v>108.8</v>
      </c>
      <c r="R7" s="36">
        <v>111.76</v>
      </c>
      <c r="S7" s="36">
        <v>114.72</v>
      </c>
      <c r="T7" s="36">
        <v>116.48</v>
      </c>
      <c r="U7">
        <v>106.88</v>
      </c>
      <c r="V7">
        <v>108.8</v>
      </c>
      <c r="W7">
        <v>111.76</v>
      </c>
      <c r="X7">
        <v>114.72</v>
      </c>
      <c r="Y7">
        <v>116.48</v>
      </c>
      <c r="Z7" s="36">
        <v>106.88</v>
      </c>
      <c r="AA7" s="36">
        <v>108.8</v>
      </c>
      <c r="AB7" s="36">
        <v>111.76</v>
      </c>
      <c r="AC7" s="36">
        <v>114.72</v>
      </c>
      <c r="AD7" s="36">
        <v>116.48</v>
      </c>
      <c r="AE7">
        <v>106.88</v>
      </c>
      <c r="AF7">
        <v>108.8</v>
      </c>
      <c r="AG7">
        <v>111.76</v>
      </c>
      <c r="AH7">
        <v>114.72</v>
      </c>
      <c r="AI7">
        <v>116.48</v>
      </c>
      <c r="AJ7" s="36">
        <v>106.88</v>
      </c>
      <c r="AK7" s="36">
        <v>108.8</v>
      </c>
      <c r="AL7" s="36">
        <v>111.76</v>
      </c>
      <c r="AM7" s="36">
        <v>114.72</v>
      </c>
      <c r="AN7" s="36">
        <v>116.48</v>
      </c>
      <c r="AO7">
        <v>106.88</v>
      </c>
      <c r="AP7">
        <v>108.8</v>
      </c>
      <c r="AQ7">
        <v>111.76</v>
      </c>
      <c r="AR7">
        <v>114.72</v>
      </c>
      <c r="AS7">
        <v>116.48</v>
      </c>
      <c r="AT7" s="36">
        <v>106.88</v>
      </c>
      <c r="AU7" s="36">
        <v>108.8</v>
      </c>
      <c r="AV7" s="36">
        <v>111.76</v>
      </c>
      <c r="AW7" s="36">
        <v>114.72</v>
      </c>
      <c r="AX7" s="36">
        <v>116.48</v>
      </c>
      <c r="AY7">
        <v>106.88</v>
      </c>
      <c r="AZ7">
        <v>108.8</v>
      </c>
      <c r="BA7">
        <v>111.76</v>
      </c>
      <c r="BB7">
        <v>114.72</v>
      </c>
      <c r="BC7">
        <v>116.48</v>
      </c>
      <c r="BD7" s="36">
        <v>106.88</v>
      </c>
      <c r="BE7" s="36">
        <v>108.8</v>
      </c>
      <c r="BF7" s="36">
        <v>111.76</v>
      </c>
      <c r="BG7" s="36">
        <v>114.72</v>
      </c>
      <c r="BH7" s="36">
        <v>116.48</v>
      </c>
      <c r="BI7">
        <v>106.88</v>
      </c>
      <c r="BJ7">
        <v>108.8</v>
      </c>
      <c r="BK7">
        <v>111.76</v>
      </c>
      <c r="BL7">
        <v>114.72</v>
      </c>
      <c r="BM7">
        <v>116.48</v>
      </c>
      <c r="BN7" s="36">
        <v>106.88</v>
      </c>
      <c r="BO7" s="36">
        <v>108.8</v>
      </c>
      <c r="BP7" s="36">
        <v>111.76</v>
      </c>
      <c r="BQ7" s="36">
        <v>114.72</v>
      </c>
      <c r="BR7" s="36">
        <v>116.48</v>
      </c>
    </row>
    <row r="8" spans="1:70" x14ac:dyDescent="0.15">
      <c r="A8">
        <v>543.67999999999995</v>
      </c>
      <c r="B8">
        <v>545.6</v>
      </c>
      <c r="C8">
        <v>548.55999999999995</v>
      </c>
      <c r="D8">
        <v>551.52</v>
      </c>
      <c r="E8">
        <v>553.28</v>
      </c>
      <c r="F8" s="36">
        <v>121.44</v>
      </c>
      <c r="G8" s="36">
        <v>123.36</v>
      </c>
      <c r="H8" s="36">
        <v>126.32</v>
      </c>
      <c r="I8" s="36">
        <v>129.28</v>
      </c>
      <c r="J8" s="36">
        <v>131.04</v>
      </c>
      <c r="K8">
        <v>121.44</v>
      </c>
      <c r="L8">
        <v>123.36</v>
      </c>
      <c r="M8">
        <v>126.32</v>
      </c>
      <c r="N8">
        <v>129.28</v>
      </c>
      <c r="O8">
        <v>131.04</v>
      </c>
      <c r="P8" s="36">
        <v>121.44</v>
      </c>
      <c r="Q8" s="36">
        <v>123.36</v>
      </c>
      <c r="R8" s="36">
        <v>126.32</v>
      </c>
      <c r="S8" s="36">
        <v>129.28</v>
      </c>
      <c r="T8" s="36">
        <v>131.04</v>
      </c>
      <c r="U8">
        <v>121.44</v>
      </c>
      <c r="V8">
        <v>123.36</v>
      </c>
      <c r="W8">
        <v>126.32</v>
      </c>
      <c r="X8">
        <v>129.28</v>
      </c>
      <c r="Y8">
        <v>131.04</v>
      </c>
      <c r="Z8" s="36">
        <v>121.44</v>
      </c>
      <c r="AA8" s="36">
        <v>123.36</v>
      </c>
      <c r="AB8" s="36">
        <v>126.32</v>
      </c>
      <c r="AC8" s="36">
        <v>129.28</v>
      </c>
      <c r="AD8" s="36">
        <v>131.04</v>
      </c>
      <c r="AE8">
        <v>121.44</v>
      </c>
      <c r="AF8">
        <v>123.36</v>
      </c>
      <c r="AG8">
        <v>126.32</v>
      </c>
      <c r="AH8">
        <v>129.28</v>
      </c>
      <c r="AI8">
        <v>131.04</v>
      </c>
      <c r="AJ8" s="36">
        <v>121.44</v>
      </c>
      <c r="AK8" s="36">
        <v>123.36</v>
      </c>
      <c r="AL8" s="36">
        <v>126.32</v>
      </c>
      <c r="AM8" s="36">
        <v>129.28</v>
      </c>
      <c r="AN8" s="36">
        <v>131.04</v>
      </c>
      <c r="AO8">
        <v>121.44</v>
      </c>
      <c r="AP8">
        <v>123.36</v>
      </c>
      <c r="AQ8">
        <v>126.32</v>
      </c>
      <c r="AR8">
        <v>129.28</v>
      </c>
      <c r="AS8">
        <v>131.04</v>
      </c>
      <c r="AT8" s="36">
        <v>121.44</v>
      </c>
      <c r="AU8" s="36">
        <v>123.36</v>
      </c>
      <c r="AV8" s="36">
        <v>126.32</v>
      </c>
      <c r="AW8" s="36">
        <v>129.28</v>
      </c>
      <c r="AX8" s="36">
        <v>131.04</v>
      </c>
      <c r="AY8">
        <v>121.44</v>
      </c>
      <c r="AZ8">
        <v>123.36</v>
      </c>
      <c r="BA8">
        <v>126.32</v>
      </c>
      <c r="BB8">
        <v>129.28</v>
      </c>
      <c r="BC8">
        <v>131.04</v>
      </c>
      <c r="BD8" s="36">
        <v>121.44</v>
      </c>
      <c r="BE8" s="36">
        <v>123.36</v>
      </c>
      <c r="BF8" s="36">
        <v>126.32</v>
      </c>
      <c r="BG8" s="36">
        <v>129.28</v>
      </c>
      <c r="BH8" s="36">
        <v>131.04</v>
      </c>
      <c r="BI8">
        <v>121.44</v>
      </c>
      <c r="BJ8">
        <v>123.36</v>
      </c>
      <c r="BK8">
        <v>126.32</v>
      </c>
      <c r="BL8">
        <v>129.28</v>
      </c>
      <c r="BM8">
        <v>131.04</v>
      </c>
      <c r="BN8" s="36">
        <v>121.44</v>
      </c>
      <c r="BO8" s="36">
        <v>123.36</v>
      </c>
      <c r="BP8" s="36">
        <v>126.32</v>
      </c>
      <c r="BQ8" s="36">
        <v>129.28</v>
      </c>
      <c r="BR8" s="36">
        <v>131.04</v>
      </c>
    </row>
    <row r="9" spans="1:70" x14ac:dyDescent="0.15">
      <c r="A9">
        <v>558.24</v>
      </c>
      <c r="B9">
        <v>560.16</v>
      </c>
      <c r="C9">
        <v>563.12</v>
      </c>
      <c r="D9">
        <v>566.08000000000004</v>
      </c>
      <c r="E9">
        <v>567.84</v>
      </c>
      <c r="F9" s="36">
        <v>136</v>
      </c>
      <c r="G9" s="36">
        <v>137.91999999999999</v>
      </c>
      <c r="H9" s="36">
        <v>140.88</v>
      </c>
      <c r="I9" s="36">
        <v>143.84</v>
      </c>
      <c r="J9" s="36">
        <v>145.6</v>
      </c>
      <c r="K9">
        <v>136</v>
      </c>
      <c r="L9">
        <v>137.91999999999999</v>
      </c>
      <c r="M9">
        <v>140.88</v>
      </c>
      <c r="N9">
        <v>143.84</v>
      </c>
      <c r="O9">
        <v>145.6</v>
      </c>
      <c r="P9" s="36">
        <v>136</v>
      </c>
      <c r="Q9" s="36">
        <v>137.91999999999999</v>
      </c>
      <c r="R9" s="36">
        <v>140.88</v>
      </c>
      <c r="S9" s="36">
        <v>143.84</v>
      </c>
      <c r="T9" s="36">
        <v>145.6</v>
      </c>
      <c r="U9">
        <v>136</v>
      </c>
      <c r="V9">
        <v>137.91999999999999</v>
      </c>
      <c r="W9">
        <v>140.88</v>
      </c>
      <c r="X9">
        <v>143.84</v>
      </c>
      <c r="Y9">
        <v>145.6</v>
      </c>
      <c r="Z9" s="36">
        <v>136</v>
      </c>
      <c r="AA9" s="36">
        <v>137.91999999999999</v>
      </c>
      <c r="AB9" s="36">
        <v>140.88</v>
      </c>
      <c r="AC9" s="36">
        <v>143.84</v>
      </c>
      <c r="AD9" s="36">
        <v>145.6</v>
      </c>
      <c r="AE9">
        <v>136</v>
      </c>
      <c r="AF9">
        <v>137.91999999999999</v>
      </c>
      <c r="AG9">
        <v>140.88</v>
      </c>
      <c r="AH9">
        <v>143.84</v>
      </c>
      <c r="AI9">
        <v>145.6</v>
      </c>
      <c r="AJ9" s="36">
        <v>136</v>
      </c>
      <c r="AK9" s="36">
        <v>137.91999999999999</v>
      </c>
      <c r="AL9" s="36">
        <v>140.88</v>
      </c>
      <c r="AM9" s="36">
        <v>143.84</v>
      </c>
      <c r="AN9" s="36">
        <v>145.6</v>
      </c>
      <c r="AO9">
        <v>136</v>
      </c>
      <c r="AP9">
        <v>137.91999999999999</v>
      </c>
      <c r="AQ9">
        <v>140.88</v>
      </c>
      <c r="AR9">
        <v>143.84</v>
      </c>
      <c r="AS9">
        <v>145.6</v>
      </c>
      <c r="AT9" s="36">
        <v>136</v>
      </c>
      <c r="AU9" s="36">
        <v>137.91999999999999</v>
      </c>
      <c r="AV9" s="36">
        <v>140.88</v>
      </c>
      <c r="AW9" s="36">
        <v>143.84</v>
      </c>
      <c r="AX9" s="36">
        <v>145.6</v>
      </c>
      <c r="AY9">
        <v>136</v>
      </c>
      <c r="AZ9">
        <v>137.91999999999999</v>
      </c>
      <c r="BA9">
        <v>140.88</v>
      </c>
      <c r="BB9">
        <v>143.84</v>
      </c>
      <c r="BC9">
        <v>145.6</v>
      </c>
      <c r="BD9" s="36">
        <v>136</v>
      </c>
      <c r="BE9" s="36">
        <v>137.91999999999999</v>
      </c>
      <c r="BF9" s="36">
        <v>140.88</v>
      </c>
      <c r="BG9" s="36">
        <v>143.84</v>
      </c>
      <c r="BH9" s="36">
        <v>145.6</v>
      </c>
      <c r="BI9">
        <v>136</v>
      </c>
      <c r="BJ9">
        <v>137.91999999999999</v>
      </c>
      <c r="BK9">
        <v>140.88</v>
      </c>
      <c r="BL9">
        <v>143.84</v>
      </c>
      <c r="BM9">
        <v>145.6</v>
      </c>
      <c r="BN9" s="36">
        <v>136</v>
      </c>
      <c r="BO9" s="36">
        <v>137.91999999999999</v>
      </c>
      <c r="BP9" s="36">
        <v>140.88</v>
      </c>
      <c r="BQ9" s="36">
        <v>143.84</v>
      </c>
      <c r="BR9" s="36">
        <v>145.6</v>
      </c>
    </row>
    <row r="10" spans="1:70" x14ac:dyDescent="0.15">
      <c r="A10">
        <v>572.79999999999995</v>
      </c>
      <c r="B10">
        <v>574.72</v>
      </c>
      <c r="C10">
        <v>577.67999999999995</v>
      </c>
      <c r="D10">
        <v>580.64</v>
      </c>
      <c r="E10">
        <v>582.4</v>
      </c>
      <c r="F10" s="36">
        <v>150.56</v>
      </c>
      <c r="G10" s="36">
        <v>152.47999999999999</v>
      </c>
      <c r="H10" s="36">
        <v>155.44</v>
      </c>
      <c r="I10" s="36">
        <v>158.4</v>
      </c>
      <c r="J10" s="36">
        <v>160.16</v>
      </c>
      <c r="K10">
        <v>150.56</v>
      </c>
      <c r="L10">
        <v>152.47999999999999</v>
      </c>
      <c r="M10">
        <v>155.44</v>
      </c>
      <c r="N10">
        <v>158.4</v>
      </c>
      <c r="O10">
        <v>160.16</v>
      </c>
      <c r="P10" s="36">
        <v>150.56</v>
      </c>
      <c r="Q10" s="36">
        <v>152.47999999999999</v>
      </c>
      <c r="R10" s="36">
        <v>155.44</v>
      </c>
      <c r="S10" s="36">
        <v>158.4</v>
      </c>
      <c r="T10" s="36">
        <v>160.16</v>
      </c>
      <c r="U10">
        <v>150.56</v>
      </c>
      <c r="V10">
        <v>152.47999999999999</v>
      </c>
      <c r="W10">
        <v>155.44</v>
      </c>
      <c r="X10">
        <v>158.4</v>
      </c>
      <c r="Y10">
        <v>160.16</v>
      </c>
      <c r="Z10" s="36">
        <v>150.56</v>
      </c>
      <c r="AA10" s="36">
        <v>152.47999999999999</v>
      </c>
      <c r="AB10" s="36">
        <v>155.44</v>
      </c>
      <c r="AC10" s="36">
        <v>158.4</v>
      </c>
      <c r="AD10" s="36">
        <v>160.16</v>
      </c>
      <c r="AE10">
        <v>150.56</v>
      </c>
      <c r="AF10">
        <v>152.47999999999999</v>
      </c>
      <c r="AG10">
        <v>155.44</v>
      </c>
      <c r="AH10">
        <v>158.4</v>
      </c>
      <c r="AI10">
        <v>160.16</v>
      </c>
      <c r="AJ10" s="36">
        <v>150.56</v>
      </c>
      <c r="AK10" s="36">
        <v>152.47999999999999</v>
      </c>
      <c r="AL10" s="36">
        <v>155.44</v>
      </c>
      <c r="AM10" s="36">
        <v>158.4</v>
      </c>
      <c r="AN10" s="36">
        <v>160.16</v>
      </c>
      <c r="AO10">
        <v>150.56</v>
      </c>
      <c r="AP10">
        <v>152.47999999999999</v>
      </c>
      <c r="AQ10">
        <v>155.44</v>
      </c>
      <c r="AR10">
        <v>158.4</v>
      </c>
      <c r="AS10">
        <v>160.16</v>
      </c>
      <c r="AT10" s="36">
        <v>150.56</v>
      </c>
      <c r="AU10" s="36">
        <v>152.47999999999999</v>
      </c>
      <c r="AV10" s="36">
        <v>155.44</v>
      </c>
      <c r="AW10" s="36">
        <v>158.4</v>
      </c>
      <c r="AX10" s="36">
        <v>160.16</v>
      </c>
      <c r="AY10">
        <v>150.56</v>
      </c>
      <c r="AZ10">
        <v>152.47999999999999</v>
      </c>
      <c r="BA10">
        <v>155.44</v>
      </c>
      <c r="BB10">
        <v>158.4</v>
      </c>
      <c r="BC10">
        <v>160.16</v>
      </c>
      <c r="BD10" s="36">
        <v>150.56</v>
      </c>
      <c r="BE10" s="36">
        <v>152.47999999999999</v>
      </c>
      <c r="BF10" s="36">
        <v>155.44</v>
      </c>
      <c r="BG10" s="36">
        <v>158.4</v>
      </c>
      <c r="BH10" s="36">
        <v>160.16</v>
      </c>
      <c r="BI10">
        <v>150.56</v>
      </c>
      <c r="BJ10">
        <v>152.47999999999999</v>
      </c>
      <c r="BK10">
        <v>155.44</v>
      </c>
      <c r="BL10">
        <v>158.4</v>
      </c>
      <c r="BM10">
        <v>160.16</v>
      </c>
      <c r="BN10" s="36">
        <v>150.56</v>
      </c>
      <c r="BO10" s="36">
        <v>152.47999999999999</v>
      </c>
      <c r="BP10" s="36">
        <v>155.44</v>
      </c>
      <c r="BQ10" s="36">
        <v>158.4</v>
      </c>
      <c r="BR10" s="36">
        <v>160.16</v>
      </c>
    </row>
    <row r="11" spans="1:70" x14ac:dyDescent="0.15">
      <c r="A11">
        <v>587.36</v>
      </c>
      <c r="B11">
        <v>589.28</v>
      </c>
      <c r="C11">
        <v>592.24</v>
      </c>
      <c r="D11">
        <v>595.20000000000005</v>
      </c>
      <c r="E11">
        <v>596.96</v>
      </c>
      <c r="F11" s="36">
        <v>165.12</v>
      </c>
      <c r="G11" s="36">
        <v>167.04</v>
      </c>
      <c r="H11" s="36">
        <v>170</v>
      </c>
      <c r="I11" s="36">
        <v>172.96</v>
      </c>
      <c r="J11" s="36">
        <v>174.72</v>
      </c>
      <c r="K11">
        <v>165.12</v>
      </c>
      <c r="L11">
        <v>167.04</v>
      </c>
      <c r="M11">
        <v>170</v>
      </c>
      <c r="N11">
        <v>172.96</v>
      </c>
      <c r="O11">
        <v>174.72</v>
      </c>
      <c r="P11" s="36">
        <v>165.12</v>
      </c>
      <c r="Q11" s="36">
        <v>167.04</v>
      </c>
      <c r="R11" s="36">
        <v>170</v>
      </c>
      <c r="S11" s="36">
        <v>172.96</v>
      </c>
      <c r="T11" s="36">
        <v>174.72</v>
      </c>
      <c r="U11">
        <v>165.12</v>
      </c>
      <c r="V11">
        <v>167.04</v>
      </c>
      <c r="W11">
        <v>170</v>
      </c>
      <c r="X11">
        <v>172.96</v>
      </c>
      <c r="Y11">
        <v>174.72</v>
      </c>
      <c r="Z11" s="36">
        <v>165.12</v>
      </c>
      <c r="AA11" s="36">
        <v>167.04</v>
      </c>
      <c r="AB11" s="36">
        <v>170</v>
      </c>
      <c r="AC11" s="36">
        <v>172.96</v>
      </c>
      <c r="AD11" s="36">
        <v>174.72</v>
      </c>
      <c r="AE11">
        <v>165.12</v>
      </c>
      <c r="AF11">
        <v>167.04</v>
      </c>
      <c r="AG11">
        <v>170</v>
      </c>
      <c r="AH11">
        <v>172.96</v>
      </c>
      <c r="AI11">
        <v>174.72</v>
      </c>
      <c r="AJ11" s="36">
        <v>165.12</v>
      </c>
      <c r="AK11" s="36">
        <v>167.04</v>
      </c>
      <c r="AL11" s="36">
        <v>170</v>
      </c>
      <c r="AM11" s="36">
        <v>172.96</v>
      </c>
      <c r="AN11" s="36">
        <v>174.72</v>
      </c>
      <c r="AO11">
        <v>165.12</v>
      </c>
      <c r="AP11">
        <v>167.04</v>
      </c>
      <c r="AQ11">
        <v>170</v>
      </c>
      <c r="AR11">
        <v>172.96</v>
      </c>
      <c r="AS11">
        <v>174.72</v>
      </c>
      <c r="AT11" s="36">
        <v>165.12</v>
      </c>
      <c r="AU11" s="36">
        <v>167.04</v>
      </c>
      <c r="AV11" s="36">
        <v>170</v>
      </c>
      <c r="AW11" s="36">
        <v>172.96</v>
      </c>
      <c r="AX11" s="36">
        <v>174.72</v>
      </c>
      <c r="AY11">
        <v>165.12</v>
      </c>
      <c r="AZ11">
        <v>167.04</v>
      </c>
      <c r="BA11">
        <v>170</v>
      </c>
      <c r="BB11">
        <v>172.96</v>
      </c>
      <c r="BC11">
        <v>174.72</v>
      </c>
      <c r="BD11" s="36">
        <v>165.12</v>
      </c>
      <c r="BE11" s="36">
        <v>167.04</v>
      </c>
      <c r="BF11" s="36">
        <v>170</v>
      </c>
      <c r="BG11" s="36">
        <v>172.96</v>
      </c>
      <c r="BH11" s="36">
        <v>174.72</v>
      </c>
      <c r="BI11">
        <v>165.12</v>
      </c>
      <c r="BJ11">
        <v>167.04</v>
      </c>
      <c r="BK11">
        <v>170</v>
      </c>
      <c r="BL11">
        <v>172.96</v>
      </c>
      <c r="BM11">
        <v>174.72</v>
      </c>
      <c r="BN11" s="36">
        <v>165.12</v>
      </c>
      <c r="BO11" s="36">
        <v>167.04</v>
      </c>
      <c r="BP11" s="36">
        <v>170</v>
      </c>
      <c r="BQ11" s="36">
        <v>172.96</v>
      </c>
      <c r="BR11" s="36">
        <v>174.72</v>
      </c>
    </row>
    <row r="12" spans="1:70" x14ac:dyDescent="0.15">
      <c r="A12">
        <v>601.91999999999996</v>
      </c>
      <c r="B12">
        <v>603.84</v>
      </c>
      <c r="C12">
        <v>606.79999999999995</v>
      </c>
      <c r="D12">
        <v>609.76</v>
      </c>
      <c r="E12">
        <v>611.52</v>
      </c>
      <c r="F12" s="36">
        <v>179.68</v>
      </c>
      <c r="G12" s="36">
        <v>181.6</v>
      </c>
      <c r="H12" s="36">
        <v>184.56</v>
      </c>
      <c r="I12" s="36">
        <v>187.52</v>
      </c>
      <c r="J12" s="36">
        <v>189.28</v>
      </c>
      <c r="K12">
        <v>179.68</v>
      </c>
      <c r="L12">
        <v>181.6</v>
      </c>
      <c r="M12">
        <v>184.56</v>
      </c>
      <c r="N12">
        <v>187.52</v>
      </c>
      <c r="O12">
        <v>189.28</v>
      </c>
      <c r="P12" s="36">
        <v>179.68</v>
      </c>
      <c r="Q12" s="36">
        <v>181.6</v>
      </c>
      <c r="R12" s="36">
        <v>184.56</v>
      </c>
      <c r="S12" s="36">
        <v>187.52</v>
      </c>
      <c r="T12" s="36">
        <v>189.28</v>
      </c>
      <c r="U12">
        <v>179.68</v>
      </c>
      <c r="V12">
        <v>181.6</v>
      </c>
      <c r="W12">
        <v>184.56</v>
      </c>
      <c r="X12">
        <v>187.52</v>
      </c>
      <c r="Y12">
        <v>189.28</v>
      </c>
      <c r="Z12" s="36">
        <v>179.68</v>
      </c>
      <c r="AA12" s="36">
        <v>181.6</v>
      </c>
      <c r="AB12" s="36">
        <v>184.56</v>
      </c>
      <c r="AC12" s="36">
        <v>187.52</v>
      </c>
      <c r="AD12" s="36">
        <v>189.28</v>
      </c>
      <c r="AE12">
        <v>179.68</v>
      </c>
      <c r="AF12">
        <v>181.6</v>
      </c>
      <c r="AG12">
        <v>184.56</v>
      </c>
      <c r="AH12">
        <v>187.52</v>
      </c>
      <c r="AI12">
        <v>189.28</v>
      </c>
      <c r="AJ12" s="36">
        <v>179.68</v>
      </c>
      <c r="AK12" s="36">
        <v>181.6</v>
      </c>
      <c r="AL12" s="36">
        <v>184.56</v>
      </c>
      <c r="AM12" s="36">
        <v>187.52</v>
      </c>
      <c r="AN12" s="36">
        <v>189.28</v>
      </c>
      <c r="AO12">
        <v>179.68</v>
      </c>
      <c r="AP12">
        <v>181.6</v>
      </c>
      <c r="AQ12">
        <v>184.56</v>
      </c>
      <c r="AR12">
        <v>187.52</v>
      </c>
      <c r="AS12">
        <v>189.28</v>
      </c>
      <c r="AT12" s="36">
        <v>179.68</v>
      </c>
      <c r="AU12" s="36">
        <v>181.6</v>
      </c>
      <c r="AV12" s="36">
        <v>184.56</v>
      </c>
      <c r="AW12" s="36">
        <v>187.52</v>
      </c>
      <c r="AX12" s="36">
        <v>189.28</v>
      </c>
      <c r="AY12">
        <v>179.68</v>
      </c>
      <c r="AZ12">
        <v>181.6</v>
      </c>
      <c r="BA12">
        <v>184.56</v>
      </c>
      <c r="BB12">
        <v>187.52</v>
      </c>
      <c r="BC12">
        <v>189.28</v>
      </c>
      <c r="BD12" s="36">
        <v>179.68</v>
      </c>
      <c r="BE12" s="36">
        <v>181.6</v>
      </c>
      <c r="BF12" s="36">
        <v>184.56</v>
      </c>
      <c r="BG12" s="36">
        <v>187.52</v>
      </c>
      <c r="BH12" s="36">
        <v>189.28</v>
      </c>
      <c r="BI12">
        <v>179.68</v>
      </c>
      <c r="BJ12">
        <v>181.6</v>
      </c>
      <c r="BK12">
        <v>184.56</v>
      </c>
      <c r="BL12">
        <v>187.52</v>
      </c>
      <c r="BM12">
        <v>189.28</v>
      </c>
      <c r="BN12" s="36">
        <v>179.68</v>
      </c>
      <c r="BO12" s="36">
        <v>181.6</v>
      </c>
      <c r="BP12" s="36">
        <v>184.56</v>
      </c>
      <c r="BQ12" s="36">
        <v>187.52</v>
      </c>
      <c r="BR12" s="36">
        <v>189.28</v>
      </c>
    </row>
    <row r="13" spans="1:70" x14ac:dyDescent="0.15">
      <c r="A13">
        <v>616.48</v>
      </c>
      <c r="B13">
        <v>618.4</v>
      </c>
      <c r="C13">
        <v>621.36</v>
      </c>
      <c r="D13">
        <v>624.32000000000005</v>
      </c>
      <c r="E13">
        <v>626.08000000000004</v>
      </c>
      <c r="F13" s="36">
        <v>194.24</v>
      </c>
      <c r="G13" s="36">
        <v>196.16</v>
      </c>
      <c r="H13" s="36">
        <v>199.12</v>
      </c>
      <c r="I13" s="36">
        <v>202.08</v>
      </c>
      <c r="J13" s="36">
        <v>203.84</v>
      </c>
      <c r="K13">
        <v>194.24</v>
      </c>
      <c r="L13">
        <v>196.16</v>
      </c>
      <c r="M13">
        <v>199.12</v>
      </c>
      <c r="N13">
        <v>202.08</v>
      </c>
      <c r="O13">
        <v>203.84</v>
      </c>
      <c r="P13" s="36">
        <v>194.24</v>
      </c>
      <c r="Q13" s="36">
        <v>196.16</v>
      </c>
      <c r="R13" s="36">
        <v>199.12</v>
      </c>
      <c r="S13" s="36">
        <v>202.08</v>
      </c>
      <c r="T13" s="36">
        <v>203.84</v>
      </c>
      <c r="U13">
        <v>194.24</v>
      </c>
      <c r="V13">
        <v>196.16</v>
      </c>
      <c r="W13">
        <v>199.12</v>
      </c>
      <c r="X13">
        <v>202.08</v>
      </c>
      <c r="Y13">
        <v>203.84</v>
      </c>
      <c r="Z13" s="36">
        <v>194.24</v>
      </c>
      <c r="AA13" s="36">
        <v>196.16</v>
      </c>
      <c r="AB13" s="36">
        <v>199.12</v>
      </c>
      <c r="AC13" s="36">
        <v>202.08</v>
      </c>
      <c r="AD13" s="36">
        <v>203.84</v>
      </c>
      <c r="AE13">
        <v>194.24</v>
      </c>
      <c r="AF13">
        <v>196.16</v>
      </c>
      <c r="AG13">
        <v>199.12</v>
      </c>
      <c r="AH13">
        <v>202.08</v>
      </c>
      <c r="AI13">
        <v>203.84</v>
      </c>
      <c r="AJ13" s="36">
        <v>194.24</v>
      </c>
      <c r="AK13" s="36">
        <v>196.16</v>
      </c>
      <c r="AL13" s="36">
        <v>199.12</v>
      </c>
      <c r="AM13" s="36">
        <v>202.08</v>
      </c>
      <c r="AN13" s="36">
        <v>203.84</v>
      </c>
      <c r="AO13">
        <v>194.24</v>
      </c>
      <c r="AP13">
        <v>196.16</v>
      </c>
      <c r="AQ13">
        <v>199.12</v>
      </c>
      <c r="AR13">
        <v>202.08</v>
      </c>
      <c r="AS13">
        <v>203.84</v>
      </c>
      <c r="AT13" s="36">
        <v>194.24</v>
      </c>
      <c r="AU13" s="36">
        <v>196.16</v>
      </c>
      <c r="AV13" s="36">
        <v>199.12</v>
      </c>
      <c r="AW13" s="36">
        <v>202.08</v>
      </c>
      <c r="AX13" s="36">
        <v>203.84</v>
      </c>
      <c r="AY13">
        <v>194.24</v>
      </c>
      <c r="AZ13">
        <v>196.16</v>
      </c>
      <c r="BA13">
        <v>199.12</v>
      </c>
      <c r="BB13">
        <v>202.08</v>
      </c>
      <c r="BC13">
        <v>203.84</v>
      </c>
      <c r="BD13" s="36">
        <v>194.24</v>
      </c>
      <c r="BE13" s="36">
        <v>196.16</v>
      </c>
      <c r="BF13" s="36">
        <v>199.12</v>
      </c>
      <c r="BG13" s="36">
        <v>202.08</v>
      </c>
      <c r="BH13" s="36">
        <v>203.84</v>
      </c>
      <c r="BI13">
        <v>194.24</v>
      </c>
      <c r="BJ13">
        <v>196.16</v>
      </c>
      <c r="BK13">
        <v>199.12</v>
      </c>
      <c r="BL13">
        <v>202.08</v>
      </c>
      <c r="BM13">
        <v>203.84</v>
      </c>
      <c r="BN13" s="36">
        <v>194.24</v>
      </c>
      <c r="BO13" s="36">
        <v>196.16</v>
      </c>
      <c r="BP13" s="36">
        <v>199.12</v>
      </c>
      <c r="BQ13" s="36">
        <v>202.08</v>
      </c>
      <c r="BR13" s="36">
        <v>203.84</v>
      </c>
    </row>
    <row r="14" spans="1:70" x14ac:dyDescent="0.15">
      <c r="A14">
        <v>631.04</v>
      </c>
      <c r="B14">
        <v>632.96</v>
      </c>
      <c r="C14">
        <v>635.91999999999996</v>
      </c>
      <c r="D14">
        <v>638.88</v>
      </c>
      <c r="E14">
        <v>640.64</v>
      </c>
      <c r="F14" s="36">
        <v>208.8</v>
      </c>
      <c r="G14" s="36">
        <v>210.72</v>
      </c>
      <c r="H14" s="36">
        <v>213.68</v>
      </c>
      <c r="I14" s="36">
        <v>216.64</v>
      </c>
      <c r="J14" s="36">
        <v>218.4</v>
      </c>
      <c r="K14">
        <v>208.8</v>
      </c>
      <c r="L14">
        <v>210.72</v>
      </c>
      <c r="M14">
        <v>213.68</v>
      </c>
      <c r="N14">
        <v>216.64</v>
      </c>
      <c r="O14">
        <v>218.4</v>
      </c>
      <c r="P14" s="36">
        <v>208.8</v>
      </c>
      <c r="Q14" s="36">
        <v>210.72</v>
      </c>
      <c r="R14" s="36">
        <v>213.68</v>
      </c>
      <c r="S14" s="36">
        <v>216.64</v>
      </c>
      <c r="T14" s="36">
        <v>218.4</v>
      </c>
      <c r="U14">
        <v>208.8</v>
      </c>
      <c r="V14">
        <v>210.72</v>
      </c>
      <c r="W14">
        <v>213.68</v>
      </c>
      <c r="X14">
        <v>216.64</v>
      </c>
      <c r="Y14">
        <v>218.4</v>
      </c>
      <c r="Z14" s="36">
        <v>208.8</v>
      </c>
      <c r="AA14" s="36">
        <v>210.72</v>
      </c>
      <c r="AB14" s="36">
        <v>213.68</v>
      </c>
      <c r="AC14" s="36">
        <v>216.64</v>
      </c>
      <c r="AD14" s="36">
        <v>218.4</v>
      </c>
      <c r="AE14">
        <v>208.8</v>
      </c>
      <c r="AF14">
        <v>210.72</v>
      </c>
      <c r="AG14">
        <v>213.68</v>
      </c>
      <c r="AH14">
        <v>216.64</v>
      </c>
      <c r="AI14">
        <v>218.4</v>
      </c>
      <c r="AJ14" s="36">
        <v>208.8</v>
      </c>
      <c r="AK14" s="36">
        <v>210.72</v>
      </c>
      <c r="AL14" s="36">
        <v>213.68</v>
      </c>
      <c r="AM14" s="36">
        <v>216.64</v>
      </c>
      <c r="AN14" s="36">
        <v>218.4</v>
      </c>
      <c r="AO14">
        <v>208.8</v>
      </c>
      <c r="AP14">
        <v>210.72</v>
      </c>
      <c r="AQ14">
        <v>213.68</v>
      </c>
      <c r="AR14">
        <v>216.64</v>
      </c>
      <c r="AS14">
        <v>218.4</v>
      </c>
      <c r="AT14" s="36">
        <v>208.8</v>
      </c>
      <c r="AU14" s="36">
        <v>210.72</v>
      </c>
      <c r="AV14" s="36">
        <v>213.68</v>
      </c>
      <c r="AW14" s="36">
        <v>216.64</v>
      </c>
      <c r="AX14" s="36">
        <v>218.4</v>
      </c>
      <c r="AY14">
        <v>208.8</v>
      </c>
      <c r="AZ14">
        <v>210.72</v>
      </c>
      <c r="BA14">
        <v>213.68</v>
      </c>
      <c r="BB14">
        <v>216.64</v>
      </c>
      <c r="BC14">
        <v>218.4</v>
      </c>
      <c r="BD14" s="36">
        <v>208.8</v>
      </c>
      <c r="BE14" s="36">
        <v>210.72</v>
      </c>
      <c r="BF14" s="36">
        <v>213.68</v>
      </c>
      <c r="BG14" s="36">
        <v>216.64</v>
      </c>
      <c r="BH14" s="36">
        <v>218.4</v>
      </c>
      <c r="BI14">
        <v>208.8</v>
      </c>
      <c r="BJ14">
        <v>210.72</v>
      </c>
      <c r="BK14">
        <v>213.68</v>
      </c>
      <c r="BL14">
        <v>216.64</v>
      </c>
      <c r="BM14">
        <v>218.4</v>
      </c>
      <c r="BN14" s="36">
        <v>208.8</v>
      </c>
      <c r="BO14" s="36">
        <v>210.72</v>
      </c>
      <c r="BP14" s="36">
        <v>213.68</v>
      </c>
      <c r="BQ14" s="36">
        <v>216.64</v>
      </c>
      <c r="BR14" s="36">
        <v>218.4</v>
      </c>
    </row>
    <row r="15" spans="1:70" x14ac:dyDescent="0.15">
      <c r="A15">
        <v>645.6</v>
      </c>
      <c r="B15">
        <v>647.52</v>
      </c>
      <c r="C15">
        <v>650.48</v>
      </c>
      <c r="D15">
        <v>653.44000000000005</v>
      </c>
      <c r="E15">
        <v>655.20000000000005</v>
      </c>
      <c r="F15" s="36">
        <v>223.36</v>
      </c>
      <c r="G15" s="36">
        <v>225.28</v>
      </c>
      <c r="H15" s="36">
        <v>228.24</v>
      </c>
      <c r="I15" s="36">
        <v>231.2</v>
      </c>
      <c r="J15" s="36">
        <v>232.96</v>
      </c>
      <c r="K15">
        <v>223.36</v>
      </c>
      <c r="L15">
        <v>225.28</v>
      </c>
      <c r="M15">
        <v>228.24</v>
      </c>
      <c r="N15">
        <v>231.2</v>
      </c>
      <c r="O15">
        <v>232.96</v>
      </c>
      <c r="P15" s="36">
        <v>223.36</v>
      </c>
      <c r="Q15" s="36">
        <v>225.28</v>
      </c>
      <c r="R15" s="36">
        <v>228.24</v>
      </c>
      <c r="S15" s="36">
        <v>231.2</v>
      </c>
      <c r="T15" s="36">
        <v>232.96</v>
      </c>
      <c r="U15">
        <v>223.36</v>
      </c>
      <c r="V15">
        <v>225.28</v>
      </c>
      <c r="W15">
        <v>228.24</v>
      </c>
      <c r="X15">
        <v>231.2</v>
      </c>
      <c r="Y15">
        <v>232.96</v>
      </c>
      <c r="Z15" s="36">
        <v>223.36</v>
      </c>
      <c r="AA15" s="36">
        <v>225.28</v>
      </c>
      <c r="AB15" s="36">
        <v>228.24</v>
      </c>
      <c r="AC15" s="36">
        <v>231.2</v>
      </c>
      <c r="AD15" s="36">
        <v>232.96</v>
      </c>
      <c r="AE15">
        <v>223.36</v>
      </c>
      <c r="AF15">
        <v>225.28</v>
      </c>
      <c r="AG15">
        <v>228.24</v>
      </c>
      <c r="AH15">
        <v>231.2</v>
      </c>
      <c r="AI15">
        <v>232.96</v>
      </c>
      <c r="AJ15" s="36">
        <v>223.36</v>
      </c>
      <c r="AK15" s="36">
        <v>225.28</v>
      </c>
      <c r="AL15" s="36">
        <v>228.24</v>
      </c>
      <c r="AM15" s="36">
        <v>231.2</v>
      </c>
      <c r="AN15" s="36">
        <v>232.96</v>
      </c>
      <c r="AO15">
        <v>223.36</v>
      </c>
      <c r="AP15">
        <v>225.28</v>
      </c>
      <c r="AQ15">
        <v>228.24</v>
      </c>
      <c r="AR15">
        <v>231.2</v>
      </c>
      <c r="AS15">
        <v>232.96</v>
      </c>
      <c r="AT15" s="36">
        <v>223.36</v>
      </c>
      <c r="AU15" s="36">
        <v>225.28</v>
      </c>
      <c r="AV15" s="36">
        <v>228.24</v>
      </c>
      <c r="AW15" s="36">
        <v>231.2</v>
      </c>
      <c r="AX15" s="36">
        <v>232.96</v>
      </c>
      <c r="AY15">
        <v>223.36</v>
      </c>
      <c r="AZ15">
        <v>225.28</v>
      </c>
      <c r="BA15">
        <v>228.24</v>
      </c>
      <c r="BB15">
        <v>231.2</v>
      </c>
      <c r="BC15">
        <v>232.96</v>
      </c>
      <c r="BD15" s="36">
        <v>223.36</v>
      </c>
      <c r="BE15" s="36">
        <v>225.28</v>
      </c>
      <c r="BF15" s="36">
        <v>228.24</v>
      </c>
      <c r="BG15" s="36">
        <v>231.2</v>
      </c>
      <c r="BH15" s="36">
        <v>232.96</v>
      </c>
      <c r="BI15">
        <v>223.36</v>
      </c>
      <c r="BJ15">
        <v>225.28</v>
      </c>
      <c r="BK15">
        <v>228.24</v>
      </c>
      <c r="BL15">
        <v>231.2</v>
      </c>
      <c r="BM15">
        <v>232.96</v>
      </c>
      <c r="BN15" s="36">
        <v>223.36</v>
      </c>
      <c r="BO15" s="36">
        <v>225.28</v>
      </c>
      <c r="BP15" s="36">
        <v>228.24</v>
      </c>
      <c r="BQ15" s="36">
        <v>231.2</v>
      </c>
      <c r="BR15" s="36">
        <v>232.96</v>
      </c>
    </row>
    <row r="16" spans="1:70" x14ac:dyDescent="0.15">
      <c r="A16">
        <v>660.16</v>
      </c>
      <c r="B16">
        <v>662.08</v>
      </c>
      <c r="C16">
        <v>665.04</v>
      </c>
      <c r="D16">
        <v>668</v>
      </c>
      <c r="E16">
        <v>669.76</v>
      </c>
      <c r="F16" s="36">
        <v>237.92</v>
      </c>
      <c r="G16" s="36">
        <v>239.84</v>
      </c>
      <c r="H16" s="36">
        <v>242.8</v>
      </c>
      <c r="I16" s="36">
        <v>245.76</v>
      </c>
      <c r="J16" s="36">
        <v>247.52</v>
      </c>
      <c r="K16">
        <v>237.92</v>
      </c>
      <c r="L16">
        <v>239.84</v>
      </c>
      <c r="M16">
        <v>242.8</v>
      </c>
      <c r="N16">
        <v>245.76</v>
      </c>
      <c r="O16">
        <v>247.52</v>
      </c>
      <c r="P16" s="36">
        <v>237.92</v>
      </c>
      <c r="Q16" s="36">
        <v>239.84</v>
      </c>
      <c r="R16" s="36">
        <v>242.8</v>
      </c>
      <c r="S16" s="36">
        <v>245.76</v>
      </c>
      <c r="T16" s="36">
        <v>247.52</v>
      </c>
      <c r="U16">
        <v>237.92</v>
      </c>
      <c r="V16">
        <v>239.84</v>
      </c>
      <c r="W16">
        <v>242.8</v>
      </c>
      <c r="X16">
        <v>245.76</v>
      </c>
      <c r="Y16">
        <v>247.52</v>
      </c>
      <c r="Z16" s="36">
        <v>237.92</v>
      </c>
      <c r="AA16" s="36">
        <v>239.84</v>
      </c>
      <c r="AB16" s="36">
        <v>242.8</v>
      </c>
      <c r="AC16" s="36">
        <v>245.76</v>
      </c>
      <c r="AD16" s="36">
        <v>247.52</v>
      </c>
      <c r="AE16">
        <v>237.92</v>
      </c>
      <c r="AF16">
        <v>239.84</v>
      </c>
      <c r="AG16">
        <v>242.8</v>
      </c>
      <c r="AH16">
        <v>245.76</v>
      </c>
      <c r="AI16">
        <v>247.52</v>
      </c>
      <c r="AJ16" s="36">
        <v>237.92</v>
      </c>
      <c r="AK16" s="36">
        <v>239.84</v>
      </c>
      <c r="AL16" s="36">
        <v>242.8</v>
      </c>
      <c r="AM16" s="36">
        <v>245.76</v>
      </c>
      <c r="AN16" s="36">
        <v>247.52</v>
      </c>
      <c r="AO16">
        <v>237.92</v>
      </c>
      <c r="AP16">
        <v>239.84</v>
      </c>
      <c r="AQ16">
        <v>242.8</v>
      </c>
      <c r="AR16">
        <v>245.76</v>
      </c>
      <c r="AS16">
        <v>247.52</v>
      </c>
      <c r="AT16" s="36">
        <v>237.92</v>
      </c>
      <c r="AU16" s="36">
        <v>239.84</v>
      </c>
      <c r="AV16" s="36">
        <v>242.8</v>
      </c>
      <c r="AW16" s="36">
        <v>245.76</v>
      </c>
      <c r="AX16" s="36">
        <v>247.52</v>
      </c>
      <c r="AY16">
        <v>237.92</v>
      </c>
      <c r="AZ16">
        <v>239.84</v>
      </c>
      <c r="BA16">
        <v>242.8</v>
      </c>
      <c r="BB16">
        <v>245.76</v>
      </c>
      <c r="BC16">
        <v>247.52</v>
      </c>
      <c r="BD16" s="36">
        <v>237.92</v>
      </c>
      <c r="BE16" s="36">
        <v>239.84</v>
      </c>
      <c r="BF16" s="36">
        <v>242.8</v>
      </c>
      <c r="BG16" s="36">
        <v>245.76</v>
      </c>
      <c r="BH16" s="36">
        <v>247.52</v>
      </c>
      <c r="BI16">
        <v>237.92</v>
      </c>
      <c r="BJ16">
        <v>239.84</v>
      </c>
      <c r="BK16">
        <v>242.8</v>
      </c>
      <c r="BL16">
        <v>245.76</v>
      </c>
      <c r="BM16">
        <v>247.52</v>
      </c>
      <c r="BN16" s="36">
        <v>237.92</v>
      </c>
      <c r="BO16" s="36">
        <v>239.84</v>
      </c>
      <c r="BP16" s="36">
        <v>242.8</v>
      </c>
      <c r="BQ16" s="36">
        <v>245.76</v>
      </c>
      <c r="BR16" s="36">
        <v>247.52</v>
      </c>
    </row>
    <row r="17" spans="1:70" x14ac:dyDescent="0.15">
      <c r="A17">
        <v>674.72</v>
      </c>
      <c r="B17">
        <v>676.64</v>
      </c>
      <c r="C17">
        <v>679.6</v>
      </c>
      <c r="D17">
        <v>682.56</v>
      </c>
      <c r="E17">
        <v>684.32</v>
      </c>
      <c r="F17" s="36">
        <v>252.48</v>
      </c>
      <c r="G17" s="36">
        <v>254.4</v>
      </c>
      <c r="H17" s="36">
        <v>257.36</v>
      </c>
      <c r="I17" s="36">
        <v>260.32</v>
      </c>
      <c r="J17" s="36">
        <v>262.08</v>
      </c>
      <c r="K17">
        <v>252.48</v>
      </c>
      <c r="L17">
        <v>254.4</v>
      </c>
      <c r="M17">
        <v>257.36</v>
      </c>
      <c r="N17">
        <v>260.32</v>
      </c>
      <c r="O17">
        <v>262.08</v>
      </c>
      <c r="P17" s="36">
        <v>252.48</v>
      </c>
      <c r="Q17" s="36">
        <v>254.4</v>
      </c>
      <c r="R17" s="36">
        <v>257.36</v>
      </c>
      <c r="S17" s="36">
        <v>260.32</v>
      </c>
      <c r="T17" s="36">
        <v>262.08</v>
      </c>
      <c r="U17">
        <v>252.48</v>
      </c>
      <c r="V17">
        <v>254.4</v>
      </c>
      <c r="W17">
        <v>257.36</v>
      </c>
      <c r="X17">
        <v>260.32</v>
      </c>
      <c r="Y17">
        <v>262.08</v>
      </c>
      <c r="Z17" s="36">
        <v>252.48</v>
      </c>
      <c r="AA17" s="36">
        <v>254.4</v>
      </c>
      <c r="AB17" s="36">
        <v>257.36</v>
      </c>
      <c r="AC17" s="36">
        <v>260.32</v>
      </c>
      <c r="AD17" s="36">
        <v>262.08</v>
      </c>
      <c r="AE17">
        <v>252.48</v>
      </c>
      <c r="AF17">
        <v>254.4</v>
      </c>
      <c r="AG17">
        <v>257.36</v>
      </c>
      <c r="AH17">
        <v>260.32</v>
      </c>
      <c r="AI17">
        <v>262.08</v>
      </c>
      <c r="AJ17" s="36">
        <v>252.48</v>
      </c>
      <c r="AK17" s="36">
        <v>254.4</v>
      </c>
      <c r="AL17" s="36">
        <v>257.36</v>
      </c>
      <c r="AM17" s="36">
        <v>260.32</v>
      </c>
      <c r="AN17" s="36">
        <v>262.08</v>
      </c>
      <c r="AO17">
        <v>252.48</v>
      </c>
      <c r="AP17">
        <v>254.4</v>
      </c>
      <c r="AQ17">
        <v>257.36</v>
      </c>
      <c r="AR17">
        <v>260.32</v>
      </c>
      <c r="AS17">
        <v>262.08</v>
      </c>
      <c r="AT17" s="36">
        <v>252.48</v>
      </c>
      <c r="AU17" s="36">
        <v>254.4</v>
      </c>
      <c r="AV17" s="36">
        <v>257.36</v>
      </c>
      <c r="AW17" s="36">
        <v>260.32</v>
      </c>
      <c r="AX17" s="36">
        <v>262.08</v>
      </c>
      <c r="AY17">
        <v>252.48</v>
      </c>
      <c r="AZ17">
        <v>254.4</v>
      </c>
      <c r="BA17">
        <v>257.36</v>
      </c>
      <c r="BB17">
        <v>260.32</v>
      </c>
      <c r="BC17">
        <v>262.08</v>
      </c>
      <c r="BD17" s="36">
        <v>252.48</v>
      </c>
      <c r="BE17" s="36">
        <v>254.4</v>
      </c>
      <c r="BF17" s="36">
        <v>257.36</v>
      </c>
      <c r="BG17" s="36">
        <v>260.32</v>
      </c>
      <c r="BH17" s="36">
        <v>262.08</v>
      </c>
      <c r="BI17">
        <v>252.48</v>
      </c>
      <c r="BJ17">
        <v>254.4</v>
      </c>
      <c r="BK17">
        <v>257.36</v>
      </c>
      <c r="BL17">
        <v>260.32</v>
      </c>
      <c r="BM17">
        <v>262.08</v>
      </c>
      <c r="BN17" s="36">
        <v>252.48</v>
      </c>
      <c r="BO17" s="36">
        <v>254.4</v>
      </c>
      <c r="BP17" s="36">
        <v>257.36</v>
      </c>
      <c r="BQ17" s="36">
        <v>260.32</v>
      </c>
      <c r="BR17" s="36">
        <v>262.08</v>
      </c>
    </row>
    <row r="18" spans="1:70" x14ac:dyDescent="0.15">
      <c r="A18">
        <v>689.28</v>
      </c>
      <c r="B18">
        <v>691.2</v>
      </c>
      <c r="C18">
        <v>694.16</v>
      </c>
      <c r="D18">
        <v>697.12</v>
      </c>
      <c r="E18">
        <v>698.88</v>
      </c>
      <c r="F18" s="36">
        <v>267.04000000000002</v>
      </c>
      <c r="G18" s="36">
        <v>268.95999999999998</v>
      </c>
      <c r="H18" s="36">
        <v>271.92</v>
      </c>
      <c r="I18" s="36">
        <v>274.88</v>
      </c>
      <c r="J18" s="36">
        <v>276.64</v>
      </c>
      <c r="K18">
        <v>267.04000000000002</v>
      </c>
      <c r="L18">
        <v>268.95999999999998</v>
      </c>
      <c r="M18">
        <v>271.92</v>
      </c>
      <c r="N18">
        <v>274.88</v>
      </c>
      <c r="O18">
        <v>276.64</v>
      </c>
      <c r="P18" s="36">
        <v>267.04000000000002</v>
      </c>
      <c r="Q18" s="36">
        <v>268.95999999999998</v>
      </c>
      <c r="R18" s="36">
        <v>271.92</v>
      </c>
      <c r="S18" s="36">
        <v>274.88</v>
      </c>
      <c r="T18" s="36">
        <v>276.64</v>
      </c>
      <c r="U18">
        <v>267.04000000000002</v>
      </c>
      <c r="V18">
        <v>268.95999999999998</v>
      </c>
      <c r="W18">
        <v>271.92</v>
      </c>
      <c r="X18">
        <v>274.88</v>
      </c>
      <c r="Y18">
        <v>276.64</v>
      </c>
      <c r="Z18" s="36">
        <v>267.04000000000002</v>
      </c>
      <c r="AA18" s="36">
        <v>268.95999999999998</v>
      </c>
      <c r="AB18" s="36">
        <v>271.92</v>
      </c>
      <c r="AC18" s="36">
        <v>274.88</v>
      </c>
      <c r="AD18" s="36">
        <v>276.64</v>
      </c>
      <c r="AE18">
        <v>267.04000000000002</v>
      </c>
      <c r="AF18">
        <v>268.95999999999998</v>
      </c>
      <c r="AG18">
        <v>271.92</v>
      </c>
      <c r="AH18">
        <v>274.88</v>
      </c>
      <c r="AI18">
        <v>276.64</v>
      </c>
      <c r="AJ18" s="36">
        <v>267.04000000000002</v>
      </c>
      <c r="AK18" s="36">
        <v>268.95999999999998</v>
      </c>
      <c r="AL18" s="36">
        <v>271.92</v>
      </c>
      <c r="AM18" s="36">
        <v>274.88</v>
      </c>
      <c r="AN18" s="36">
        <v>276.64</v>
      </c>
      <c r="AO18">
        <v>267.04000000000002</v>
      </c>
      <c r="AP18">
        <v>268.95999999999998</v>
      </c>
      <c r="AQ18">
        <v>271.92</v>
      </c>
      <c r="AR18">
        <v>274.88</v>
      </c>
      <c r="AS18">
        <v>276.64</v>
      </c>
      <c r="AT18" s="36">
        <v>267.04000000000002</v>
      </c>
      <c r="AU18" s="36">
        <v>268.95999999999998</v>
      </c>
      <c r="AV18" s="36">
        <v>271.92</v>
      </c>
      <c r="AW18" s="36">
        <v>274.88</v>
      </c>
      <c r="AX18" s="36">
        <v>276.64</v>
      </c>
      <c r="AY18">
        <v>267.04000000000002</v>
      </c>
      <c r="AZ18">
        <v>268.95999999999998</v>
      </c>
      <c r="BA18">
        <v>271.92</v>
      </c>
      <c r="BB18">
        <v>274.88</v>
      </c>
      <c r="BC18">
        <v>276.64</v>
      </c>
      <c r="BD18" s="36">
        <v>267.04000000000002</v>
      </c>
      <c r="BE18" s="36">
        <v>268.95999999999998</v>
      </c>
      <c r="BF18" s="36">
        <v>271.92</v>
      </c>
      <c r="BG18" s="36">
        <v>274.88</v>
      </c>
      <c r="BH18" s="36">
        <v>276.64</v>
      </c>
      <c r="BI18">
        <v>267.04000000000002</v>
      </c>
      <c r="BJ18">
        <v>268.95999999999998</v>
      </c>
      <c r="BK18">
        <v>271.92</v>
      </c>
      <c r="BL18">
        <v>274.88</v>
      </c>
      <c r="BM18">
        <v>276.64</v>
      </c>
      <c r="BN18" s="36">
        <v>267.04000000000002</v>
      </c>
      <c r="BO18" s="36">
        <v>268.95999999999998</v>
      </c>
      <c r="BP18" s="36">
        <v>271.92</v>
      </c>
      <c r="BQ18" s="36">
        <v>274.88</v>
      </c>
      <c r="BR18" s="36">
        <v>276.64</v>
      </c>
    </row>
    <row r="19" spans="1:70" x14ac:dyDescent="0.15">
      <c r="A19">
        <v>703.84</v>
      </c>
      <c r="B19">
        <v>705.76</v>
      </c>
      <c r="C19">
        <v>708.72</v>
      </c>
      <c r="D19">
        <v>711.68</v>
      </c>
      <c r="E19">
        <v>713.44</v>
      </c>
      <c r="F19" s="36">
        <v>281.60000000000002</v>
      </c>
      <c r="G19" s="36">
        <v>283.52</v>
      </c>
      <c r="H19" s="36">
        <v>286.48</v>
      </c>
      <c r="I19" s="36">
        <v>289.44</v>
      </c>
      <c r="J19" s="36">
        <v>291.2</v>
      </c>
      <c r="K19">
        <v>281.60000000000002</v>
      </c>
      <c r="L19">
        <v>283.52</v>
      </c>
      <c r="M19">
        <v>286.48</v>
      </c>
      <c r="N19">
        <v>289.44</v>
      </c>
      <c r="O19">
        <v>291.2</v>
      </c>
      <c r="P19" s="36">
        <v>281.60000000000002</v>
      </c>
      <c r="Q19" s="36">
        <v>283.52</v>
      </c>
      <c r="R19" s="36">
        <v>286.48</v>
      </c>
      <c r="S19" s="36">
        <v>289.44</v>
      </c>
      <c r="T19" s="36">
        <v>291.2</v>
      </c>
      <c r="U19">
        <v>281.60000000000002</v>
      </c>
      <c r="V19">
        <v>283.52</v>
      </c>
      <c r="W19">
        <v>286.48</v>
      </c>
      <c r="X19">
        <v>289.44</v>
      </c>
      <c r="Y19">
        <v>291.2</v>
      </c>
      <c r="Z19" s="36">
        <v>281.60000000000002</v>
      </c>
      <c r="AA19" s="36">
        <v>283.52</v>
      </c>
      <c r="AB19" s="36">
        <v>286.48</v>
      </c>
      <c r="AC19" s="36">
        <v>289.44</v>
      </c>
      <c r="AD19" s="36">
        <v>291.2</v>
      </c>
      <c r="AE19">
        <v>281.60000000000002</v>
      </c>
      <c r="AF19">
        <v>283.52</v>
      </c>
      <c r="AG19">
        <v>286.48</v>
      </c>
      <c r="AH19">
        <v>289.44</v>
      </c>
      <c r="AI19">
        <v>291.2</v>
      </c>
      <c r="AJ19" s="36">
        <v>281.60000000000002</v>
      </c>
      <c r="AK19" s="36">
        <v>283.52</v>
      </c>
      <c r="AL19" s="36">
        <v>286.48</v>
      </c>
      <c r="AM19" s="36">
        <v>289.44</v>
      </c>
      <c r="AN19" s="36">
        <v>291.2</v>
      </c>
      <c r="AO19">
        <v>281.60000000000002</v>
      </c>
      <c r="AP19">
        <v>283.52</v>
      </c>
      <c r="AQ19">
        <v>286.48</v>
      </c>
      <c r="AR19">
        <v>289.44</v>
      </c>
      <c r="AS19">
        <v>291.2</v>
      </c>
      <c r="AT19" s="36">
        <v>281.60000000000002</v>
      </c>
      <c r="AU19" s="36">
        <v>283.52</v>
      </c>
      <c r="AV19" s="36">
        <v>286.48</v>
      </c>
      <c r="AW19" s="36">
        <v>289.44</v>
      </c>
      <c r="AX19" s="36">
        <v>291.2</v>
      </c>
      <c r="AY19">
        <v>281.60000000000002</v>
      </c>
      <c r="AZ19">
        <v>283.52</v>
      </c>
      <c r="BA19">
        <v>286.48</v>
      </c>
      <c r="BB19">
        <v>289.44</v>
      </c>
      <c r="BC19">
        <v>291.2</v>
      </c>
      <c r="BD19" s="36">
        <v>281.60000000000002</v>
      </c>
      <c r="BE19" s="36">
        <v>283.52</v>
      </c>
      <c r="BF19" s="36">
        <v>286.48</v>
      </c>
      <c r="BG19" s="36">
        <v>289.44</v>
      </c>
      <c r="BH19" s="36">
        <v>291.2</v>
      </c>
      <c r="BI19">
        <v>281.60000000000002</v>
      </c>
      <c r="BJ19">
        <v>283.52</v>
      </c>
      <c r="BK19">
        <v>286.48</v>
      </c>
      <c r="BL19">
        <v>289.44</v>
      </c>
      <c r="BM19">
        <v>291.2</v>
      </c>
      <c r="BN19" s="36">
        <v>281.60000000000002</v>
      </c>
      <c r="BO19" s="36">
        <v>283.52</v>
      </c>
      <c r="BP19" s="36">
        <v>286.48</v>
      </c>
      <c r="BQ19" s="36">
        <v>289.44</v>
      </c>
      <c r="BR19" s="36">
        <v>291.2</v>
      </c>
    </row>
    <row r="20" spans="1:70" x14ac:dyDescent="0.15">
      <c r="A20">
        <v>718.4</v>
      </c>
      <c r="B20">
        <v>720.32</v>
      </c>
      <c r="C20">
        <v>723.28</v>
      </c>
      <c r="D20">
        <v>726.24</v>
      </c>
      <c r="E20">
        <v>728</v>
      </c>
      <c r="F20" s="36">
        <v>296.16000000000003</v>
      </c>
      <c r="G20" s="36">
        <v>298.08</v>
      </c>
      <c r="H20" s="36">
        <v>301.04000000000002</v>
      </c>
      <c r="I20" s="36">
        <v>304</v>
      </c>
      <c r="J20" s="36">
        <v>305.76</v>
      </c>
      <c r="K20">
        <v>296.16000000000003</v>
      </c>
      <c r="L20">
        <v>298.08</v>
      </c>
      <c r="M20">
        <v>301.04000000000002</v>
      </c>
      <c r="N20">
        <v>304</v>
      </c>
      <c r="O20">
        <v>305.76</v>
      </c>
      <c r="P20" s="36">
        <v>296.16000000000003</v>
      </c>
      <c r="Q20" s="36">
        <v>298.08</v>
      </c>
      <c r="R20" s="36">
        <v>301.04000000000002</v>
      </c>
      <c r="S20" s="36">
        <v>304</v>
      </c>
      <c r="T20" s="36">
        <v>305.76</v>
      </c>
      <c r="U20">
        <v>296.16000000000003</v>
      </c>
      <c r="V20">
        <v>298.08</v>
      </c>
      <c r="W20">
        <v>301.04000000000002</v>
      </c>
      <c r="X20">
        <v>304</v>
      </c>
      <c r="Y20">
        <v>305.76</v>
      </c>
      <c r="Z20" s="36">
        <v>296.16000000000003</v>
      </c>
      <c r="AA20" s="36">
        <v>298.08</v>
      </c>
      <c r="AB20" s="36">
        <v>301.04000000000002</v>
      </c>
      <c r="AC20" s="36">
        <v>304</v>
      </c>
      <c r="AD20" s="36">
        <v>305.76</v>
      </c>
      <c r="AE20">
        <v>296.16000000000003</v>
      </c>
      <c r="AF20">
        <v>298.08</v>
      </c>
      <c r="AG20">
        <v>301.04000000000002</v>
      </c>
      <c r="AH20">
        <v>304</v>
      </c>
      <c r="AI20">
        <v>305.76</v>
      </c>
      <c r="AJ20" s="36">
        <v>296.16000000000003</v>
      </c>
      <c r="AK20" s="36">
        <v>298.08</v>
      </c>
      <c r="AL20" s="36">
        <v>301.04000000000002</v>
      </c>
      <c r="AM20" s="36">
        <v>304</v>
      </c>
      <c r="AN20" s="36">
        <v>305.76</v>
      </c>
      <c r="AO20">
        <v>296.16000000000003</v>
      </c>
      <c r="AP20">
        <v>298.08</v>
      </c>
      <c r="AQ20">
        <v>301.04000000000002</v>
      </c>
      <c r="AR20">
        <v>304</v>
      </c>
      <c r="AS20">
        <v>305.76</v>
      </c>
      <c r="AT20" s="36">
        <v>296.16000000000003</v>
      </c>
      <c r="AU20" s="36">
        <v>298.08</v>
      </c>
      <c r="AV20" s="36">
        <v>301.04000000000002</v>
      </c>
      <c r="AW20" s="36">
        <v>304</v>
      </c>
      <c r="AX20" s="36">
        <v>305.76</v>
      </c>
      <c r="AY20">
        <v>296.16000000000003</v>
      </c>
      <c r="AZ20">
        <v>298.08</v>
      </c>
      <c r="BA20">
        <v>301.04000000000002</v>
      </c>
      <c r="BB20">
        <v>304</v>
      </c>
      <c r="BC20">
        <v>305.76</v>
      </c>
      <c r="BD20" s="36">
        <v>296.16000000000003</v>
      </c>
      <c r="BE20" s="36">
        <v>298.08</v>
      </c>
      <c r="BF20" s="36">
        <v>301.04000000000002</v>
      </c>
      <c r="BG20" s="36">
        <v>304</v>
      </c>
      <c r="BH20" s="36">
        <v>305.76</v>
      </c>
      <c r="BI20">
        <v>296.16000000000003</v>
      </c>
      <c r="BJ20">
        <v>298.08</v>
      </c>
      <c r="BK20">
        <v>301.04000000000002</v>
      </c>
      <c r="BL20">
        <v>304</v>
      </c>
      <c r="BM20">
        <v>305.76</v>
      </c>
      <c r="BN20" s="36">
        <v>296.16000000000003</v>
      </c>
      <c r="BO20" s="36">
        <v>298.08</v>
      </c>
      <c r="BP20" s="36">
        <v>301.04000000000002</v>
      </c>
      <c r="BQ20" s="36">
        <v>304</v>
      </c>
      <c r="BR20" s="36">
        <v>305.76</v>
      </c>
    </row>
    <row r="21" spans="1:70" x14ac:dyDescent="0.15">
      <c r="A21">
        <v>732.96</v>
      </c>
      <c r="B21">
        <v>734.88</v>
      </c>
      <c r="C21">
        <v>737.84</v>
      </c>
      <c r="D21">
        <v>740.8</v>
      </c>
      <c r="E21">
        <v>742.56</v>
      </c>
      <c r="F21" s="36">
        <v>310.72000000000003</v>
      </c>
      <c r="G21" s="36">
        <v>312.64</v>
      </c>
      <c r="H21" s="36">
        <v>315.60000000000002</v>
      </c>
      <c r="I21" s="36">
        <v>318.56</v>
      </c>
      <c r="J21" s="36">
        <v>320.32</v>
      </c>
      <c r="K21">
        <v>310.72000000000003</v>
      </c>
      <c r="L21">
        <v>312.64</v>
      </c>
      <c r="M21">
        <v>315.60000000000002</v>
      </c>
      <c r="N21">
        <v>318.56</v>
      </c>
      <c r="O21">
        <v>320.32</v>
      </c>
      <c r="P21" s="36">
        <v>310.72000000000003</v>
      </c>
      <c r="Q21" s="36">
        <v>312.64</v>
      </c>
      <c r="R21" s="36">
        <v>315.60000000000002</v>
      </c>
      <c r="S21" s="36">
        <v>318.56</v>
      </c>
      <c r="T21" s="36">
        <v>320.32</v>
      </c>
      <c r="U21">
        <v>310.72000000000003</v>
      </c>
      <c r="V21">
        <v>312.64</v>
      </c>
      <c r="W21">
        <v>315.60000000000002</v>
      </c>
      <c r="X21">
        <v>318.56</v>
      </c>
      <c r="Y21">
        <v>320.32</v>
      </c>
      <c r="Z21" s="36">
        <v>310.72000000000003</v>
      </c>
      <c r="AA21" s="36">
        <v>312.64</v>
      </c>
      <c r="AB21" s="36">
        <v>315.60000000000002</v>
      </c>
      <c r="AC21" s="36">
        <v>318.56</v>
      </c>
      <c r="AD21" s="36">
        <v>320.32</v>
      </c>
      <c r="AE21">
        <v>310.72000000000003</v>
      </c>
      <c r="AF21">
        <v>312.64</v>
      </c>
      <c r="AG21">
        <v>315.60000000000002</v>
      </c>
      <c r="AH21">
        <v>318.56</v>
      </c>
      <c r="AI21">
        <v>320.32</v>
      </c>
      <c r="AJ21" s="36">
        <v>310.72000000000003</v>
      </c>
      <c r="AK21" s="36">
        <v>312.64</v>
      </c>
      <c r="AL21" s="36">
        <v>315.60000000000002</v>
      </c>
      <c r="AM21" s="36">
        <v>318.56</v>
      </c>
      <c r="AN21" s="36">
        <v>320.32</v>
      </c>
      <c r="AO21">
        <v>310.72000000000003</v>
      </c>
      <c r="AP21">
        <v>312.64</v>
      </c>
      <c r="AQ21">
        <v>315.60000000000002</v>
      </c>
      <c r="AR21">
        <v>318.56</v>
      </c>
      <c r="AS21">
        <v>320.32</v>
      </c>
      <c r="AT21" s="36">
        <v>310.72000000000003</v>
      </c>
      <c r="AU21" s="36">
        <v>312.64</v>
      </c>
      <c r="AV21" s="36">
        <v>315.60000000000002</v>
      </c>
      <c r="AW21" s="36">
        <v>318.56</v>
      </c>
      <c r="AX21" s="36">
        <v>320.32</v>
      </c>
      <c r="AY21">
        <v>310.72000000000003</v>
      </c>
      <c r="AZ21">
        <v>312.64</v>
      </c>
      <c r="BA21">
        <v>315.60000000000002</v>
      </c>
      <c r="BB21">
        <v>318.56</v>
      </c>
      <c r="BC21">
        <v>320.32</v>
      </c>
      <c r="BD21" s="36">
        <v>310.72000000000003</v>
      </c>
      <c r="BE21" s="36">
        <v>312.64</v>
      </c>
      <c r="BF21" s="36">
        <v>315.60000000000002</v>
      </c>
      <c r="BG21" s="36">
        <v>318.56</v>
      </c>
      <c r="BH21" s="36">
        <v>320.32</v>
      </c>
      <c r="BI21">
        <v>310.72000000000003</v>
      </c>
      <c r="BJ21">
        <v>312.64</v>
      </c>
      <c r="BK21">
        <v>315.60000000000002</v>
      </c>
      <c r="BL21">
        <v>318.56</v>
      </c>
      <c r="BM21">
        <v>320.32</v>
      </c>
      <c r="BN21" s="36">
        <v>310.72000000000003</v>
      </c>
      <c r="BO21" s="36">
        <v>312.64</v>
      </c>
      <c r="BP21" s="36">
        <v>315.60000000000002</v>
      </c>
      <c r="BQ21" s="36">
        <v>318.56</v>
      </c>
      <c r="BR21" s="36">
        <v>320.32</v>
      </c>
    </row>
    <row r="22" spans="1:70" x14ac:dyDescent="0.15">
      <c r="A22">
        <v>747.52</v>
      </c>
      <c r="B22">
        <v>749.44</v>
      </c>
      <c r="C22">
        <v>752.4</v>
      </c>
      <c r="D22">
        <v>755.36</v>
      </c>
      <c r="E22">
        <v>757.12</v>
      </c>
      <c r="F22" s="36">
        <v>325.27999999999997</v>
      </c>
      <c r="G22" s="36">
        <v>327.2</v>
      </c>
      <c r="H22" s="36">
        <v>330.16</v>
      </c>
      <c r="I22" s="36">
        <v>333.12</v>
      </c>
      <c r="J22" s="36">
        <v>334.88</v>
      </c>
      <c r="K22">
        <v>325.27999999999997</v>
      </c>
      <c r="L22">
        <v>327.2</v>
      </c>
      <c r="M22">
        <v>330.16</v>
      </c>
      <c r="N22">
        <v>333.12</v>
      </c>
      <c r="O22">
        <v>334.88</v>
      </c>
      <c r="P22" s="36">
        <v>325.27999999999997</v>
      </c>
      <c r="Q22" s="36">
        <v>327.2</v>
      </c>
      <c r="R22" s="36">
        <v>330.16</v>
      </c>
      <c r="S22" s="36">
        <v>333.12</v>
      </c>
      <c r="T22" s="36">
        <v>334.88</v>
      </c>
      <c r="U22">
        <v>325.27999999999997</v>
      </c>
      <c r="V22">
        <v>327.2</v>
      </c>
      <c r="W22">
        <v>330.16</v>
      </c>
      <c r="X22">
        <v>333.12</v>
      </c>
      <c r="Y22">
        <v>334.88</v>
      </c>
      <c r="Z22" s="36">
        <v>325.27999999999997</v>
      </c>
      <c r="AA22" s="36">
        <v>327.2</v>
      </c>
      <c r="AB22" s="36">
        <v>330.16</v>
      </c>
      <c r="AC22" s="36">
        <v>333.12</v>
      </c>
      <c r="AD22" s="36">
        <v>334.88</v>
      </c>
      <c r="AE22">
        <v>325.27999999999997</v>
      </c>
      <c r="AF22">
        <v>327.2</v>
      </c>
      <c r="AG22">
        <v>330.16</v>
      </c>
      <c r="AH22">
        <v>333.12</v>
      </c>
      <c r="AI22">
        <v>334.88</v>
      </c>
      <c r="AJ22" s="36">
        <v>325.27999999999997</v>
      </c>
      <c r="AK22" s="36">
        <v>327.2</v>
      </c>
      <c r="AL22" s="36">
        <v>330.16</v>
      </c>
      <c r="AM22" s="36">
        <v>333.12</v>
      </c>
      <c r="AN22" s="36">
        <v>334.88</v>
      </c>
      <c r="AO22">
        <v>325.27999999999997</v>
      </c>
      <c r="AP22">
        <v>327.2</v>
      </c>
      <c r="AQ22">
        <v>330.16</v>
      </c>
      <c r="AR22">
        <v>333.12</v>
      </c>
      <c r="AS22">
        <v>334.88</v>
      </c>
      <c r="AT22" s="36">
        <v>325.27999999999997</v>
      </c>
      <c r="AU22" s="36">
        <v>327.2</v>
      </c>
      <c r="AV22" s="36">
        <v>330.16</v>
      </c>
      <c r="AW22" s="36">
        <v>333.12</v>
      </c>
      <c r="AX22" s="36">
        <v>334.88</v>
      </c>
      <c r="AY22">
        <v>325.27999999999997</v>
      </c>
      <c r="AZ22">
        <v>327.2</v>
      </c>
      <c r="BA22">
        <v>330.16</v>
      </c>
      <c r="BB22">
        <v>333.12</v>
      </c>
      <c r="BC22">
        <v>334.88</v>
      </c>
      <c r="BD22" s="36">
        <v>325.27999999999997</v>
      </c>
      <c r="BE22" s="36">
        <v>327.2</v>
      </c>
      <c r="BF22" s="36">
        <v>330.16</v>
      </c>
      <c r="BG22" s="36">
        <v>333.12</v>
      </c>
      <c r="BH22" s="36">
        <v>334.88</v>
      </c>
      <c r="BI22">
        <v>325.27999999999997</v>
      </c>
      <c r="BJ22">
        <v>327.2</v>
      </c>
      <c r="BK22">
        <v>330.16</v>
      </c>
      <c r="BL22">
        <v>333.12</v>
      </c>
      <c r="BM22">
        <v>334.88</v>
      </c>
      <c r="BN22" s="36">
        <v>325.27999999999997</v>
      </c>
      <c r="BO22" s="36">
        <v>327.2</v>
      </c>
      <c r="BP22" s="36">
        <v>330.16</v>
      </c>
      <c r="BQ22" s="36">
        <v>333.12</v>
      </c>
      <c r="BR22" s="36">
        <v>334.88</v>
      </c>
    </row>
    <row r="23" spans="1:70" x14ac:dyDescent="0.15">
      <c r="A23">
        <v>762.08</v>
      </c>
      <c r="B23">
        <v>764</v>
      </c>
      <c r="C23">
        <v>766.96</v>
      </c>
      <c r="D23">
        <v>769.92</v>
      </c>
      <c r="E23">
        <v>771.68</v>
      </c>
      <c r="F23" s="36">
        <v>339.84</v>
      </c>
      <c r="G23" s="36">
        <v>341.76</v>
      </c>
      <c r="H23" s="36">
        <v>344.72</v>
      </c>
      <c r="I23" s="36">
        <v>347.68</v>
      </c>
      <c r="J23" s="36">
        <v>349.44</v>
      </c>
      <c r="K23">
        <v>339.84</v>
      </c>
      <c r="L23">
        <v>341.76</v>
      </c>
      <c r="M23">
        <v>344.72</v>
      </c>
      <c r="N23">
        <v>347.68</v>
      </c>
      <c r="O23">
        <v>349.44</v>
      </c>
      <c r="P23" s="36">
        <v>339.84</v>
      </c>
      <c r="Q23" s="36">
        <v>341.76</v>
      </c>
      <c r="R23" s="36">
        <v>344.72</v>
      </c>
      <c r="S23" s="36">
        <v>347.68</v>
      </c>
      <c r="T23" s="36">
        <v>349.44</v>
      </c>
      <c r="U23">
        <v>339.84</v>
      </c>
      <c r="V23">
        <v>341.76</v>
      </c>
      <c r="W23">
        <v>344.72</v>
      </c>
      <c r="X23">
        <v>347.68</v>
      </c>
      <c r="Y23">
        <v>349.44</v>
      </c>
      <c r="Z23" s="36">
        <v>339.84</v>
      </c>
      <c r="AA23" s="36">
        <v>341.76</v>
      </c>
      <c r="AB23" s="36">
        <v>344.72</v>
      </c>
      <c r="AC23" s="36">
        <v>347.68</v>
      </c>
      <c r="AD23" s="36">
        <v>349.44</v>
      </c>
      <c r="AE23">
        <v>339.84</v>
      </c>
      <c r="AF23">
        <v>341.76</v>
      </c>
      <c r="AG23">
        <v>344.72</v>
      </c>
      <c r="AH23">
        <v>347.68</v>
      </c>
      <c r="AI23">
        <v>349.44</v>
      </c>
      <c r="AJ23" s="36">
        <v>339.84</v>
      </c>
      <c r="AK23" s="36">
        <v>341.76</v>
      </c>
      <c r="AL23" s="36">
        <v>344.72</v>
      </c>
      <c r="AM23" s="36">
        <v>347.68</v>
      </c>
      <c r="AN23" s="36">
        <v>349.44</v>
      </c>
      <c r="AO23">
        <v>339.84</v>
      </c>
      <c r="AP23">
        <v>341.76</v>
      </c>
      <c r="AQ23">
        <v>344.72</v>
      </c>
      <c r="AR23">
        <v>347.68</v>
      </c>
      <c r="AS23">
        <v>349.44</v>
      </c>
      <c r="AT23" s="36">
        <v>339.84</v>
      </c>
      <c r="AU23" s="36">
        <v>341.76</v>
      </c>
      <c r="AV23" s="36">
        <v>344.72</v>
      </c>
      <c r="AW23" s="36">
        <v>347.68</v>
      </c>
      <c r="AX23" s="36">
        <v>349.44</v>
      </c>
      <c r="AY23">
        <v>339.84</v>
      </c>
      <c r="AZ23">
        <v>341.76</v>
      </c>
      <c r="BA23">
        <v>344.72</v>
      </c>
      <c r="BB23">
        <v>347.68</v>
      </c>
      <c r="BC23">
        <v>349.44</v>
      </c>
      <c r="BD23" s="36">
        <v>339.84</v>
      </c>
      <c r="BE23" s="36">
        <v>341.76</v>
      </c>
      <c r="BF23" s="36">
        <v>344.72</v>
      </c>
      <c r="BG23" s="36">
        <v>347.68</v>
      </c>
      <c r="BH23" s="36">
        <v>349.44</v>
      </c>
      <c r="BI23">
        <v>339.84</v>
      </c>
      <c r="BJ23">
        <v>341.76</v>
      </c>
      <c r="BK23">
        <v>344.72</v>
      </c>
      <c r="BL23">
        <v>347.68</v>
      </c>
      <c r="BM23">
        <v>349.44</v>
      </c>
      <c r="BN23" s="36">
        <v>339.84</v>
      </c>
      <c r="BO23" s="36">
        <v>341.76</v>
      </c>
      <c r="BP23" s="36">
        <v>344.72</v>
      </c>
      <c r="BQ23" s="36">
        <v>347.68</v>
      </c>
      <c r="BR23" s="36">
        <v>349.44</v>
      </c>
    </row>
    <row r="24" spans="1:70" x14ac:dyDescent="0.15">
      <c r="A24">
        <v>776.64</v>
      </c>
      <c r="B24">
        <v>778.56</v>
      </c>
      <c r="C24">
        <v>781.52</v>
      </c>
      <c r="D24">
        <v>784.48</v>
      </c>
      <c r="E24">
        <v>786.24</v>
      </c>
      <c r="F24" s="36">
        <v>354.4</v>
      </c>
      <c r="G24" s="36">
        <v>356.32</v>
      </c>
      <c r="H24" s="36">
        <v>359.28</v>
      </c>
      <c r="I24" s="36">
        <v>362.24</v>
      </c>
      <c r="J24" s="36">
        <v>364</v>
      </c>
      <c r="K24">
        <v>354.4</v>
      </c>
      <c r="L24">
        <v>356.32</v>
      </c>
      <c r="M24">
        <v>359.28</v>
      </c>
      <c r="N24">
        <v>362.24</v>
      </c>
      <c r="O24">
        <v>364</v>
      </c>
      <c r="P24" s="36">
        <v>354.4</v>
      </c>
      <c r="Q24" s="36">
        <v>356.32</v>
      </c>
      <c r="R24" s="36">
        <v>359.28</v>
      </c>
      <c r="S24" s="36">
        <v>362.24</v>
      </c>
      <c r="T24" s="36">
        <v>364</v>
      </c>
      <c r="U24">
        <v>354.4</v>
      </c>
      <c r="V24">
        <v>356.32</v>
      </c>
      <c r="W24">
        <v>359.28</v>
      </c>
      <c r="X24">
        <v>362.24</v>
      </c>
      <c r="Y24">
        <v>364</v>
      </c>
      <c r="Z24" s="36">
        <v>354.4</v>
      </c>
      <c r="AA24" s="36">
        <v>356.32</v>
      </c>
      <c r="AB24" s="36">
        <v>359.28</v>
      </c>
      <c r="AC24" s="36">
        <v>362.24</v>
      </c>
      <c r="AD24" s="36">
        <v>364</v>
      </c>
      <c r="AE24">
        <v>354.4</v>
      </c>
      <c r="AF24">
        <v>356.32</v>
      </c>
      <c r="AG24">
        <v>359.28</v>
      </c>
      <c r="AH24">
        <v>362.24</v>
      </c>
      <c r="AI24">
        <v>364</v>
      </c>
      <c r="AJ24" s="36">
        <v>354.4</v>
      </c>
      <c r="AK24" s="36">
        <v>356.32</v>
      </c>
      <c r="AL24" s="36">
        <v>359.28</v>
      </c>
      <c r="AM24" s="36">
        <v>362.24</v>
      </c>
      <c r="AN24" s="36">
        <v>364</v>
      </c>
      <c r="AO24">
        <v>354.4</v>
      </c>
      <c r="AP24">
        <v>356.32</v>
      </c>
      <c r="AQ24">
        <v>359.28</v>
      </c>
      <c r="AR24">
        <v>362.24</v>
      </c>
      <c r="AS24">
        <v>364</v>
      </c>
      <c r="AT24" s="36">
        <v>354.4</v>
      </c>
      <c r="AU24" s="36">
        <v>356.32</v>
      </c>
      <c r="AV24" s="36">
        <v>359.28</v>
      </c>
      <c r="AW24" s="36">
        <v>362.24</v>
      </c>
      <c r="AX24" s="36">
        <v>364</v>
      </c>
      <c r="AY24">
        <v>354.4</v>
      </c>
      <c r="AZ24">
        <v>356.32</v>
      </c>
      <c r="BA24">
        <v>359.28</v>
      </c>
      <c r="BB24">
        <v>362.24</v>
      </c>
      <c r="BC24">
        <v>364</v>
      </c>
      <c r="BD24" s="36">
        <v>354.4</v>
      </c>
      <c r="BE24" s="36">
        <v>356.32</v>
      </c>
      <c r="BF24" s="36">
        <v>359.28</v>
      </c>
      <c r="BG24" s="36">
        <v>362.24</v>
      </c>
      <c r="BH24" s="36">
        <v>364</v>
      </c>
      <c r="BI24">
        <v>354.4</v>
      </c>
      <c r="BJ24">
        <v>356.32</v>
      </c>
      <c r="BK24">
        <v>359.28</v>
      </c>
      <c r="BL24">
        <v>362.24</v>
      </c>
      <c r="BM24">
        <v>364</v>
      </c>
      <c r="BN24" s="36">
        <v>354.4</v>
      </c>
      <c r="BO24" s="36">
        <v>356.32</v>
      </c>
      <c r="BP24" s="36">
        <v>359.28</v>
      </c>
      <c r="BQ24" s="36">
        <v>362.24</v>
      </c>
      <c r="BR24" s="36">
        <v>364</v>
      </c>
    </row>
    <row r="25" spans="1:70" x14ac:dyDescent="0.15">
      <c r="A25">
        <v>791.2</v>
      </c>
      <c r="B25">
        <v>793.12</v>
      </c>
      <c r="C25">
        <v>796.08</v>
      </c>
      <c r="D25">
        <v>799.04</v>
      </c>
      <c r="E25">
        <v>800.8</v>
      </c>
      <c r="F25" s="36">
        <v>368.96</v>
      </c>
      <c r="G25" s="36">
        <v>370.88</v>
      </c>
      <c r="H25" s="36">
        <v>373.84</v>
      </c>
      <c r="I25" s="36">
        <v>376.8</v>
      </c>
      <c r="J25" s="36">
        <v>378.56</v>
      </c>
      <c r="K25">
        <v>368.96</v>
      </c>
      <c r="L25">
        <v>370.88</v>
      </c>
      <c r="M25">
        <v>373.84</v>
      </c>
      <c r="N25">
        <v>376.8</v>
      </c>
      <c r="O25">
        <v>378.56</v>
      </c>
      <c r="P25" s="36">
        <v>368.96</v>
      </c>
      <c r="Q25" s="36">
        <v>370.88</v>
      </c>
      <c r="R25" s="36">
        <v>373.84</v>
      </c>
      <c r="S25" s="36">
        <v>376.8</v>
      </c>
      <c r="T25" s="36">
        <v>378.56</v>
      </c>
      <c r="U25">
        <v>368.96</v>
      </c>
      <c r="V25">
        <v>370.88</v>
      </c>
      <c r="W25">
        <v>373.84</v>
      </c>
      <c r="X25">
        <v>376.8</v>
      </c>
      <c r="Y25">
        <v>378.56</v>
      </c>
      <c r="Z25" s="36">
        <v>368.96</v>
      </c>
      <c r="AA25" s="36">
        <v>370.88</v>
      </c>
      <c r="AB25" s="36">
        <v>373.84</v>
      </c>
      <c r="AC25" s="36">
        <v>376.8</v>
      </c>
      <c r="AD25" s="36">
        <v>378.56</v>
      </c>
      <c r="AE25">
        <v>368.96</v>
      </c>
      <c r="AF25">
        <v>370.88</v>
      </c>
      <c r="AG25">
        <v>373.84</v>
      </c>
      <c r="AH25">
        <v>376.8</v>
      </c>
      <c r="AI25">
        <v>378.56</v>
      </c>
      <c r="AJ25" s="36">
        <v>368.96</v>
      </c>
      <c r="AK25" s="36">
        <v>370.88</v>
      </c>
      <c r="AL25" s="36">
        <v>373.84</v>
      </c>
      <c r="AM25" s="36">
        <v>376.8</v>
      </c>
      <c r="AN25" s="36">
        <v>378.56</v>
      </c>
      <c r="AO25">
        <v>368.96</v>
      </c>
      <c r="AP25">
        <v>370.88</v>
      </c>
      <c r="AQ25">
        <v>373.84</v>
      </c>
      <c r="AR25">
        <v>376.8</v>
      </c>
      <c r="AS25">
        <v>378.56</v>
      </c>
      <c r="AT25" s="36">
        <v>368.96</v>
      </c>
      <c r="AU25" s="36">
        <v>370.88</v>
      </c>
      <c r="AV25" s="36">
        <v>373.84</v>
      </c>
      <c r="AW25" s="36">
        <v>376.8</v>
      </c>
      <c r="AX25" s="36">
        <v>378.56</v>
      </c>
      <c r="AY25">
        <v>368.96</v>
      </c>
      <c r="AZ25">
        <v>370.88</v>
      </c>
      <c r="BA25">
        <v>373.84</v>
      </c>
      <c r="BB25">
        <v>376.8</v>
      </c>
      <c r="BC25">
        <v>378.56</v>
      </c>
      <c r="BD25" s="36">
        <v>368.96</v>
      </c>
      <c r="BE25" s="36">
        <v>370.88</v>
      </c>
      <c r="BF25" s="36">
        <v>373.84</v>
      </c>
      <c r="BG25" s="36">
        <v>376.8</v>
      </c>
      <c r="BH25" s="36">
        <v>378.56</v>
      </c>
      <c r="BI25">
        <v>368.96</v>
      </c>
      <c r="BJ25">
        <v>370.88</v>
      </c>
      <c r="BK25">
        <v>373.84</v>
      </c>
      <c r="BL25">
        <v>376.8</v>
      </c>
      <c r="BM25">
        <v>378.56</v>
      </c>
      <c r="BN25" s="36">
        <v>368.96</v>
      </c>
      <c r="BO25" s="36">
        <v>370.88</v>
      </c>
      <c r="BP25" s="36">
        <v>373.84</v>
      </c>
      <c r="BQ25" s="36">
        <v>376.8</v>
      </c>
      <c r="BR25" s="36">
        <v>378.56</v>
      </c>
    </row>
    <row r="26" spans="1:70" x14ac:dyDescent="0.15">
      <c r="A26">
        <v>805.76</v>
      </c>
      <c r="B26">
        <v>807.68</v>
      </c>
      <c r="C26">
        <v>810.64</v>
      </c>
      <c r="D26">
        <v>813.6</v>
      </c>
      <c r="E26">
        <v>815.36</v>
      </c>
      <c r="F26" s="36">
        <v>383.52</v>
      </c>
      <c r="G26" s="36">
        <v>385.44</v>
      </c>
      <c r="H26" s="36">
        <v>388.4</v>
      </c>
      <c r="I26" s="36">
        <v>391.36</v>
      </c>
      <c r="J26" s="36">
        <v>393.12</v>
      </c>
      <c r="K26">
        <v>383.52</v>
      </c>
      <c r="L26">
        <v>385.44</v>
      </c>
      <c r="M26">
        <v>388.4</v>
      </c>
      <c r="N26">
        <v>391.36</v>
      </c>
      <c r="O26">
        <v>393.12</v>
      </c>
      <c r="P26" s="36">
        <v>383.52</v>
      </c>
      <c r="Q26" s="36">
        <v>385.44</v>
      </c>
      <c r="R26" s="36">
        <v>388.4</v>
      </c>
      <c r="S26" s="36">
        <v>391.36</v>
      </c>
      <c r="T26" s="36">
        <v>393.12</v>
      </c>
      <c r="U26">
        <v>383.52</v>
      </c>
      <c r="V26">
        <v>385.44</v>
      </c>
      <c r="W26">
        <v>388.4</v>
      </c>
      <c r="X26">
        <v>391.36</v>
      </c>
      <c r="Y26">
        <v>393.12</v>
      </c>
      <c r="Z26" s="36">
        <v>383.52</v>
      </c>
      <c r="AA26" s="36">
        <v>385.44</v>
      </c>
      <c r="AB26" s="36">
        <v>388.4</v>
      </c>
      <c r="AC26" s="36">
        <v>391.36</v>
      </c>
      <c r="AD26" s="36">
        <v>393.12</v>
      </c>
      <c r="AE26">
        <v>383.52</v>
      </c>
      <c r="AF26">
        <v>385.44</v>
      </c>
      <c r="AG26">
        <v>388.4</v>
      </c>
      <c r="AH26">
        <v>391.36</v>
      </c>
      <c r="AI26">
        <v>393.12</v>
      </c>
      <c r="AJ26" s="36">
        <v>383.52</v>
      </c>
      <c r="AK26" s="36">
        <v>385.44</v>
      </c>
      <c r="AL26" s="36">
        <v>388.4</v>
      </c>
      <c r="AM26" s="36">
        <v>391.36</v>
      </c>
      <c r="AN26" s="36">
        <v>393.12</v>
      </c>
      <c r="AO26">
        <v>383.52</v>
      </c>
      <c r="AP26">
        <v>385.44</v>
      </c>
      <c r="AQ26">
        <v>388.4</v>
      </c>
      <c r="AR26">
        <v>391.36</v>
      </c>
      <c r="AS26">
        <v>393.12</v>
      </c>
      <c r="AT26" s="36">
        <v>383.52</v>
      </c>
      <c r="AU26" s="36">
        <v>385.44</v>
      </c>
      <c r="AV26" s="36">
        <v>388.4</v>
      </c>
      <c r="AW26" s="36">
        <v>391.36</v>
      </c>
      <c r="AX26" s="36">
        <v>393.12</v>
      </c>
      <c r="AY26">
        <v>383.52</v>
      </c>
      <c r="AZ26">
        <v>385.44</v>
      </c>
      <c r="BA26">
        <v>388.4</v>
      </c>
      <c r="BB26">
        <v>391.36</v>
      </c>
      <c r="BC26">
        <v>393.12</v>
      </c>
      <c r="BD26" s="36">
        <v>383.52</v>
      </c>
      <c r="BE26" s="36">
        <v>385.44</v>
      </c>
      <c r="BF26" s="36">
        <v>388.4</v>
      </c>
      <c r="BG26" s="36">
        <v>391.36</v>
      </c>
      <c r="BH26" s="36">
        <v>393.12</v>
      </c>
      <c r="BI26">
        <v>383.52</v>
      </c>
      <c r="BJ26">
        <v>385.44</v>
      </c>
      <c r="BK26">
        <v>388.4</v>
      </c>
      <c r="BL26">
        <v>391.36</v>
      </c>
      <c r="BM26">
        <v>393.12</v>
      </c>
      <c r="BN26" s="36">
        <v>383.52</v>
      </c>
      <c r="BO26" s="36">
        <v>385.44</v>
      </c>
      <c r="BP26" s="36">
        <v>388.4</v>
      </c>
      <c r="BQ26" s="36">
        <v>391.36</v>
      </c>
      <c r="BR26" s="36">
        <v>393.12</v>
      </c>
    </row>
    <row r="27" spans="1:70" x14ac:dyDescent="0.15">
      <c r="A27">
        <v>820.32</v>
      </c>
      <c r="B27">
        <v>822.24</v>
      </c>
      <c r="C27">
        <v>825.2</v>
      </c>
      <c r="D27">
        <v>828.16</v>
      </c>
      <c r="E27">
        <v>829.92</v>
      </c>
      <c r="F27" s="36">
        <v>398.08</v>
      </c>
      <c r="G27" s="36">
        <v>400</v>
      </c>
      <c r="H27" s="36">
        <v>402.96</v>
      </c>
      <c r="I27" s="36">
        <v>405.92</v>
      </c>
      <c r="J27" s="36">
        <v>407.68</v>
      </c>
      <c r="K27">
        <v>398.08</v>
      </c>
      <c r="L27">
        <v>400</v>
      </c>
      <c r="M27">
        <v>402.96</v>
      </c>
      <c r="N27">
        <v>405.92</v>
      </c>
      <c r="O27">
        <v>407.68</v>
      </c>
      <c r="P27" s="36">
        <v>398.08</v>
      </c>
      <c r="Q27" s="36">
        <v>400</v>
      </c>
      <c r="R27" s="36">
        <v>402.96</v>
      </c>
      <c r="S27" s="36">
        <v>405.92</v>
      </c>
      <c r="T27" s="36">
        <v>407.68</v>
      </c>
      <c r="U27">
        <v>398.08</v>
      </c>
      <c r="V27">
        <v>400</v>
      </c>
      <c r="W27">
        <v>402.96</v>
      </c>
      <c r="X27">
        <v>405.92</v>
      </c>
      <c r="Y27">
        <v>407.68</v>
      </c>
      <c r="Z27" s="36">
        <v>398.08</v>
      </c>
      <c r="AA27" s="36">
        <v>400</v>
      </c>
      <c r="AB27" s="36">
        <v>402.96</v>
      </c>
      <c r="AC27" s="36">
        <v>405.92</v>
      </c>
      <c r="AD27" s="36">
        <v>407.68</v>
      </c>
      <c r="AE27">
        <v>398.08</v>
      </c>
      <c r="AF27">
        <v>400</v>
      </c>
      <c r="AG27">
        <v>402.96</v>
      </c>
      <c r="AH27">
        <v>405.92</v>
      </c>
      <c r="AI27">
        <v>407.68</v>
      </c>
      <c r="AJ27" s="36">
        <v>398.08</v>
      </c>
      <c r="AK27" s="36">
        <v>400</v>
      </c>
      <c r="AL27" s="36">
        <v>402.96</v>
      </c>
      <c r="AM27" s="36">
        <v>405.92</v>
      </c>
      <c r="AN27" s="36">
        <v>407.68</v>
      </c>
      <c r="AO27">
        <v>398.08</v>
      </c>
      <c r="AP27">
        <v>400</v>
      </c>
      <c r="AQ27">
        <v>402.96</v>
      </c>
      <c r="AR27">
        <v>405.92</v>
      </c>
      <c r="AS27">
        <v>407.68</v>
      </c>
      <c r="AT27" s="36">
        <v>398.08</v>
      </c>
      <c r="AU27" s="36">
        <v>400</v>
      </c>
      <c r="AV27" s="36">
        <v>402.96</v>
      </c>
      <c r="AW27" s="36">
        <v>405.92</v>
      </c>
      <c r="AX27" s="36">
        <v>407.68</v>
      </c>
      <c r="AY27">
        <v>398.08</v>
      </c>
      <c r="AZ27">
        <v>400</v>
      </c>
      <c r="BA27">
        <v>402.96</v>
      </c>
      <c r="BB27">
        <v>405.92</v>
      </c>
      <c r="BC27">
        <v>407.68</v>
      </c>
      <c r="BD27" s="36">
        <v>398.08</v>
      </c>
      <c r="BE27" s="36">
        <v>400</v>
      </c>
      <c r="BF27" s="36">
        <v>402.96</v>
      </c>
      <c r="BG27" s="36">
        <v>405.92</v>
      </c>
      <c r="BH27" s="36">
        <v>407.68</v>
      </c>
      <c r="BI27">
        <v>398.08</v>
      </c>
      <c r="BJ27">
        <v>400</v>
      </c>
      <c r="BK27">
        <v>402.96</v>
      </c>
      <c r="BL27">
        <v>405.92</v>
      </c>
      <c r="BM27">
        <v>407.68</v>
      </c>
      <c r="BN27" s="36">
        <v>398.08</v>
      </c>
      <c r="BO27" s="36">
        <v>400</v>
      </c>
      <c r="BP27" s="36">
        <v>402.96</v>
      </c>
      <c r="BQ27" s="36">
        <v>405.92</v>
      </c>
      <c r="BR27" s="36">
        <v>407.68</v>
      </c>
    </row>
    <row r="28" spans="1:70" x14ac:dyDescent="0.15">
      <c r="A28">
        <v>834.88</v>
      </c>
      <c r="B28">
        <v>836.8</v>
      </c>
      <c r="C28">
        <v>839.76</v>
      </c>
      <c r="D28">
        <v>842.72</v>
      </c>
      <c r="E28">
        <v>844.48</v>
      </c>
      <c r="F28" s="36">
        <v>412.64</v>
      </c>
      <c r="G28" s="36">
        <v>414.56</v>
      </c>
      <c r="H28" s="36">
        <v>417.52</v>
      </c>
      <c r="I28" s="36">
        <v>420.48</v>
      </c>
      <c r="J28" s="36">
        <v>422.24</v>
      </c>
      <c r="K28">
        <v>412.64</v>
      </c>
      <c r="L28">
        <v>414.56</v>
      </c>
      <c r="M28">
        <v>417.52</v>
      </c>
      <c r="N28">
        <v>420.48</v>
      </c>
      <c r="O28">
        <v>422.24</v>
      </c>
      <c r="P28" s="36">
        <v>412.64</v>
      </c>
      <c r="Q28" s="36">
        <v>414.56</v>
      </c>
      <c r="R28" s="36">
        <v>417.52</v>
      </c>
      <c r="S28" s="36">
        <v>420.48</v>
      </c>
      <c r="T28" s="36">
        <v>422.24</v>
      </c>
      <c r="U28">
        <v>412.64</v>
      </c>
      <c r="V28">
        <v>414.56</v>
      </c>
      <c r="W28">
        <v>417.52</v>
      </c>
      <c r="X28">
        <v>420.48</v>
      </c>
      <c r="Y28">
        <v>422.24</v>
      </c>
      <c r="Z28" s="36">
        <v>412.64</v>
      </c>
      <c r="AA28" s="36">
        <v>414.56</v>
      </c>
      <c r="AB28" s="36">
        <v>417.52</v>
      </c>
      <c r="AC28" s="36">
        <v>420.48</v>
      </c>
      <c r="AD28" s="36">
        <v>422.24</v>
      </c>
      <c r="AE28">
        <v>412.64</v>
      </c>
      <c r="AF28">
        <v>414.56</v>
      </c>
      <c r="AG28">
        <v>417.52</v>
      </c>
      <c r="AH28">
        <v>420.48</v>
      </c>
      <c r="AI28">
        <v>422.24</v>
      </c>
      <c r="AJ28" s="36">
        <v>412.64</v>
      </c>
      <c r="AK28" s="36">
        <v>414.56</v>
      </c>
      <c r="AL28" s="36">
        <v>417.52</v>
      </c>
      <c r="AM28" s="36">
        <v>420.48</v>
      </c>
      <c r="AN28" s="36">
        <v>422.24</v>
      </c>
      <c r="AO28">
        <v>412.64</v>
      </c>
      <c r="AP28">
        <v>414.56</v>
      </c>
      <c r="AQ28">
        <v>417.52</v>
      </c>
      <c r="AR28">
        <v>420.48</v>
      </c>
      <c r="AS28">
        <v>422.24</v>
      </c>
      <c r="AT28" s="36">
        <v>412.64</v>
      </c>
      <c r="AU28" s="36">
        <v>414.56</v>
      </c>
      <c r="AV28" s="36">
        <v>417.52</v>
      </c>
      <c r="AW28" s="36">
        <v>420.48</v>
      </c>
      <c r="AX28" s="36">
        <v>422.24</v>
      </c>
      <c r="AY28">
        <v>412.64</v>
      </c>
      <c r="AZ28">
        <v>414.56</v>
      </c>
      <c r="BA28">
        <v>417.52</v>
      </c>
      <c r="BB28">
        <v>420.48</v>
      </c>
      <c r="BC28">
        <v>422.24</v>
      </c>
      <c r="BD28" s="36">
        <v>412.64</v>
      </c>
      <c r="BE28" s="36">
        <v>414.56</v>
      </c>
      <c r="BF28" s="36">
        <v>417.52</v>
      </c>
      <c r="BG28" s="36">
        <v>420.48</v>
      </c>
      <c r="BH28" s="36">
        <v>422.24</v>
      </c>
      <c r="BI28">
        <v>412.64</v>
      </c>
      <c r="BJ28">
        <v>414.56</v>
      </c>
      <c r="BK28">
        <v>417.52</v>
      </c>
      <c r="BL28">
        <v>420.48</v>
      </c>
      <c r="BM28">
        <v>422.24</v>
      </c>
      <c r="BN28" s="36">
        <v>412.64</v>
      </c>
      <c r="BO28" s="36">
        <v>414.56</v>
      </c>
      <c r="BP28" s="36">
        <v>417.52</v>
      </c>
      <c r="BQ28" s="36">
        <v>420.48</v>
      </c>
      <c r="BR28" s="36">
        <v>422.24</v>
      </c>
    </row>
    <row r="29" spans="1:70" x14ac:dyDescent="0.15">
      <c r="A29">
        <v>849.44</v>
      </c>
      <c r="B29">
        <v>851.36</v>
      </c>
      <c r="C29">
        <v>854.32</v>
      </c>
      <c r="D29">
        <v>857.28</v>
      </c>
      <c r="E29">
        <v>859.04</v>
      </c>
      <c r="F29" s="36">
        <v>427.2</v>
      </c>
      <c r="G29" s="36">
        <v>429.12</v>
      </c>
      <c r="H29" s="36">
        <v>432.08</v>
      </c>
      <c r="I29" s="36">
        <v>435.04</v>
      </c>
      <c r="J29" s="36">
        <v>436.8</v>
      </c>
      <c r="K29">
        <v>427.2</v>
      </c>
      <c r="L29">
        <v>429.12</v>
      </c>
      <c r="M29">
        <v>432.08</v>
      </c>
      <c r="N29">
        <v>435.04</v>
      </c>
      <c r="O29">
        <v>436.8</v>
      </c>
      <c r="P29" s="36">
        <v>427.2</v>
      </c>
      <c r="Q29" s="36">
        <v>429.12</v>
      </c>
      <c r="R29" s="36">
        <v>432.08</v>
      </c>
      <c r="S29" s="36">
        <v>435.04</v>
      </c>
      <c r="T29" s="36">
        <v>436.8</v>
      </c>
      <c r="U29">
        <v>427.2</v>
      </c>
      <c r="V29">
        <v>429.12</v>
      </c>
      <c r="W29">
        <v>432.08</v>
      </c>
      <c r="X29">
        <v>435.04</v>
      </c>
      <c r="Y29">
        <v>436.8</v>
      </c>
      <c r="Z29" s="36">
        <v>427.2</v>
      </c>
      <c r="AA29" s="36">
        <v>429.12</v>
      </c>
      <c r="AB29" s="36">
        <v>432.08</v>
      </c>
      <c r="AC29" s="36">
        <v>435.04</v>
      </c>
      <c r="AD29" s="36">
        <v>436.8</v>
      </c>
      <c r="AE29">
        <v>427.2</v>
      </c>
      <c r="AF29">
        <v>429.12</v>
      </c>
      <c r="AG29">
        <v>432.08</v>
      </c>
      <c r="AH29">
        <v>435.04</v>
      </c>
      <c r="AI29">
        <v>436.8</v>
      </c>
      <c r="AJ29" s="36">
        <v>427.2</v>
      </c>
      <c r="AK29" s="36">
        <v>429.12</v>
      </c>
      <c r="AL29" s="36">
        <v>432.08</v>
      </c>
      <c r="AM29" s="36">
        <v>435.04</v>
      </c>
      <c r="AN29" s="36">
        <v>436.8</v>
      </c>
      <c r="AO29">
        <v>427.2</v>
      </c>
      <c r="AP29">
        <v>429.12</v>
      </c>
      <c r="AQ29">
        <v>432.08</v>
      </c>
      <c r="AR29">
        <v>435.04</v>
      </c>
      <c r="AS29">
        <v>436.8</v>
      </c>
      <c r="AT29" s="36">
        <v>427.2</v>
      </c>
      <c r="AU29" s="36">
        <v>429.12</v>
      </c>
      <c r="AV29" s="36">
        <v>432.08</v>
      </c>
      <c r="AW29" s="36">
        <v>435.04</v>
      </c>
      <c r="AX29" s="36">
        <v>436.8</v>
      </c>
      <c r="AY29">
        <v>427.2</v>
      </c>
      <c r="AZ29">
        <v>429.12</v>
      </c>
      <c r="BA29">
        <v>432.08</v>
      </c>
      <c r="BB29">
        <v>435.04</v>
      </c>
      <c r="BC29">
        <v>436.8</v>
      </c>
      <c r="BD29" s="36">
        <v>427.2</v>
      </c>
      <c r="BE29" s="36">
        <v>429.12</v>
      </c>
      <c r="BF29" s="36">
        <v>432.08</v>
      </c>
      <c r="BG29" s="36">
        <v>435.04</v>
      </c>
      <c r="BH29" s="36">
        <v>436.8</v>
      </c>
      <c r="BI29">
        <v>427.2</v>
      </c>
      <c r="BJ29">
        <v>429.12</v>
      </c>
      <c r="BK29">
        <v>432.08</v>
      </c>
      <c r="BL29">
        <v>435.04</v>
      </c>
      <c r="BM29">
        <v>436.8</v>
      </c>
      <c r="BN29" s="36">
        <v>427.2</v>
      </c>
      <c r="BO29" s="36">
        <v>429.12</v>
      </c>
      <c r="BP29" s="36">
        <v>432.08</v>
      </c>
      <c r="BQ29" s="36">
        <v>435.04</v>
      </c>
      <c r="BR29" s="36">
        <v>436.8</v>
      </c>
    </row>
    <row r="30" spans="1:70" x14ac:dyDescent="0.15">
      <c r="A30">
        <v>864</v>
      </c>
      <c r="B30">
        <v>865.92</v>
      </c>
      <c r="C30">
        <v>868.88</v>
      </c>
      <c r="D30">
        <v>871.84</v>
      </c>
      <c r="E30">
        <v>873.6</v>
      </c>
      <c r="F30" s="36">
        <v>441.76</v>
      </c>
      <c r="G30" s="36">
        <v>443.68</v>
      </c>
      <c r="H30" s="36">
        <v>446.64</v>
      </c>
      <c r="I30" s="36">
        <v>449.6</v>
      </c>
      <c r="J30" s="36">
        <v>451.36</v>
      </c>
      <c r="K30">
        <v>441.76</v>
      </c>
      <c r="L30">
        <v>443.68</v>
      </c>
      <c r="M30">
        <v>446.64</v>
      </c>
      <c r="N30">
        <v>449.6</v>
      </c>
      <c r="O30">
        <v>451.36</v>
      </c>
      <c r="P30" s="36">
        <v>441.76</v>
      </c>
      <c r="Q30" s="36">
        <v>443.68</v>
      </c>
      <c r="R30" s="36">
        <v>446.64</v>
      </c>
      <c r="S30" s="36">
        <v>449.6</v>
      </c>
      <c r="T30" s="36">
        <v>451.36</v>
      </c>
      <c r="U30">
        <v>441.76</v>
      </c>
      <c r="V30">
        <v>443.68</v>
      </c>
      <c r="W30">
        <v>446.64</v>
      </c>
      <c r="X30">
        <v>449.6</v>
      </c>
      <c r="Y30">
        <v>451.36</v>
      </c>
      <c r="Z30" s="36">
        <v>441.76</v>
      </c>
      <c r="AA30" s="36">
        <v>443.68</v>
      </c>
      <c r="AB30" s="36">
        <v>446.64</v>
      </c>
      <c r="AC30" s="36">
        <v>449.6</v>
      </c>
      <c r="AD30" s="36">
        <v>451.36</v>
      </c>
      <c r="AE30">
        <v>441.76</v>
      </c>
      <c r="AF30">
        <v>443.68</v>
      </c>
      <c r="AG30">
        <v>446.64</v>
      </c>
      <c r="AH30">
        <v>449.6</v>
      </c>
      <c r="AI30">
        <v>451.36</v>
      </c>
      <c r="AJ30" s="36">
        <v>441.76</v>
      </c>
      <c r="AK30" s="36">
        <v>443.68</v>
      </c>
      <c r="AL30" s="36">
        <v>446.64</v>
      </c>
      <c r="AM30" s="36">
        <v>449.6</v>
      </c>
      <c r="AN30" s="36">
        <v>451.36</v>
      </c>
      <c r="AO30">
        <v>441.76</v>
      </c>
      <c r="AP30">
        <v>443.68</v>
      </c>
      <c r="AQ30">
        <v>446.64</v>
      </c>
      <c r="AR30">
        <v>449.6</v>
      </c>
      <c r="AS30">
        <v>451.36</v>
      </c>
      <c r="AT30" s="36">
        <v>441.76</v>
      </c>
      <c r="AU30" s="36">
        <v>443.68</v>
      </c>
      <c r="AV30" s="36">
        <v>446.64</v>
      </c>
      <c r="AW30" s="36">
        <v>449.6</v>
      </c>
      <c r="AX30" s="36">
        <v>451.36</v>
      </c>
      <c r="AY30">
        <v>441.76</v>
      </c>
      <c r="AZ30">
        <v>443.68</v>
      </c>
      <c r="BA30">
        <v>446.64</v>
      </c>
      <c r="BB30">
        <v>449.6</v>
      </c>
      <c r="BC30">
        <v>451.36</v>
      </c>
      <c r="BD30" s="36">
        <v>441.76</v>
      </c>
      <c r="BE30" s="36">
        <v>443.68</v>
      </c>
      <c r="BF30" s="36">
        <v>446.64</v>
      </c>
      <c r="BG30" s="36">
        <v>449.6</v>
      </c>
      <c r="BH30" s="36">
        <v>451.36</v>
      </c>
      <c r="BI30">
        <v>441.76</v>
      </c>
      <c r="BJ30">
        <v>443.68</v>
      </c>
      <c r="BK30">
        <v>446.64</v>
      </c>
      <c r="BL30">
        <v>449.6</v>
      </c>
      <c r="BM30">
        <v>451.36</v>
      </c>
      <c r="BN30" s="36">
        <v>441.76</v>
      </c>
      <c r="BO30" s="36">
        <v>443.68</v>
      </c>
      <c r="BP30" s="36">
        <v>446.64</v>
      </c>
      <c r="BQ30" s="36">
        <v>449.6</v>
      </c>
      <c r="BR30" s="36">
        <v>451.36</v>
      </c>
    </row>
    <row r="31" spans="1:70" x14ac:dyDescent="0.15">
      <c r="A31">
        <v>878.56</v>
      </c>
      <c r="B31">
        <v>880.48</v>
      </c>
      <c r="C31">
        <v>883.44</v>
      </c>
      <c r="D31">
        <v>886.4</v>
      </c>
      <c r="E31">
        <v>888.16</v>
      </c>
      <c r="F31" s="36">
        <v>456.32</v>
      </c>
      <c r="G31" s="36">
        <v>458.24</v>
      </c>
      <c r="H31" s="36">
        <v>461.2</v>
      </c>
      <c r="I31" s="36">
        <v>464.16</v>
      </c>
      <c r="J31" s="36">
        <v>465.92</v>
      </c>
      <c r="K31">
        <v>456.32</v>
      </c>
      <c r="L31">
        <v>458.24</v>
      </c>
      <c r="M31">
        <v>461.2</v>
      </c>
      <c r="N31">
        <v>464.16</v>
      </c>
      <c r="O31">
        <v>465.92</v>
      </c>
      <c r="P31" s="36">
        <v>456.32</v>
      </c>
      <c r="Q31" s="36">
        <v>458.24</v>
      </c>
      <c r="R31" s="36">
        <v>461.2</v>
      </c>
      <c r="S31" s="36">
        <v>464.16</v>
      </c>
      <c r="T31" s="36">
        <v>465.92</v>
      </c>
      <c r="U31">
        <v>456.32</v>
      </c>
      <c r="V31">
        <v>458.24</v>
      </c>
      <c r="W31">
        <v>461.2</v>
      </c>
      <c r="X31">
        <v>464.16</v>
      </c>
      <c r="Y31">
        <v>465.92</v>
      </c>
      <c r="Z31" s="36">
        <v>456.32</v>
      </c>
      <c r="AA31" s="36">
        <v>458.24</v>
      </c>
      <c r="AB31" s="36">
        <v>461.2</v>
      </c>
      <c r="AC31" s="36">
        <v>464.16</v>
      </c>
      <c r="AD31" s="36">
        <v>465.92</v>
      </c>
      <c r="AE31">
        <v>456.32</v>
      </c>
      <c r="AF31">
        <v>458.24</v>
      </c>
      <c r="AG31">
        <v>461.2</v>
      </c>
      <c r="AH31">
        <v>464.16</v>
      </c>
      <c r="AI31">
        <v>465.92</v>
      </c>
      <c r="AJ31" s="36">
        <v>456.32</v>
      </c>
      <c r="AK31" s="36">
        <v>458.24</v>
      </c>
      <c r="AL31" s="36">
        <v>461.2</v>
      </c>
      <c r="AM31" s="36">
        <v>464.16</v>
      </c>
      <c r="AN31" s="36">
        <v>465.92</v>
      </c>
      <c r="AO31">
        <v>456.32</v>
      </c>
      <c r="AP31">
        <v>458.24</v>
      </c>
      <c r="AQ31">
        <v>461.2</v>
      </c>
      <c r="AR31">
        <v>464.16</v>
      </c>
      <c r="AS31">
        <v>465.92</v>
      </c>
      <c r="AT31" s="36">
        <v>456.32</v>
      </c>
      <c r="AU31" s="36">
        <v>458.24</v>
      </c>
      <c r="AV31" s="36">
        <v>461.2</v>
      </c>
      <c r="AW31" s="36">
        <v>464.16</v>
      </c>
      <c r="AX31" s="36">
        <v>465.92</v>
      </c>
      <c r="AY31">
        <v>456.32</v>
      </c>
      <c r="AZ31">
        <v>458.24</v>
      </c>
      <c r="BA31">
        <v>461.2</v>
      </c>
      <c r="BB31">
        <v>464.16</v>
      </c>
      <c r="BC31">
        <v>465.92</v>
      </c>
      <c r="BD31" s="36">
        <v>456.32</v>
      </c>
      <c r="BE31" s="36">
        <v>458.24</v>
      </c>
      <c r="BF31" s="36">
        <v>461.2</v>
      </c>
      <c r="BG31" s="36">
        <v>464.16</v>
      </c>
      <c r="BH31" s="36">
        <v>465.92</v>
      </c>
      <c r="BI31">
        <v>456.32</v>
      </c>
      <c r="BJ31">
        <v>458.24</v>
      </c>
      <c r="BK31">
        <v>461.2</v>
      </c>
      <c r="BL31">
        <v>464.16</v>
      </c>
      <c r="BM31">
        <v>465.92</v>
      </c>
      <c r="BN31" s="36">
        <v>456.32</v>
      </c>
      <c r="BO31" s="36">
        <v>458.24</v>
      </c>
      <c r="BP31" s="36">
        <v>461.2</v>
      </c>
      <c r="BQ31" s="36">
        <v>464.16</v>
      </c>
      <c r="BR31" s="36">
        <v>465.92</v>
      </c>
    </row>
    <row r="32" spans="1:70" x14ac:dyDescent="0.15">
      <c r="A32">
        <v>893.12</v>
      </c>
      <c r="B32">
        <v>895.04</v>
      </c>
      <c r="C32">
        <v>898</v>
      </c>
      <c r="D32">
        <v>900.96</v>
      </c>
      <c r="E32">
        <v>902.72</v>
      </c>
      <c r="F32" s="36">
        <v>470.88</v>
      </c>
      <c r="G32" s="36">
        <v>472.8</v>
      </c>
      <c r="H32" s="36">
        <v>475.76</v>
      </c>
      <c r="I32" s="36">
        <v>478.72</v>
      </c>
      <c r="J32" s="36">
        <v>480.48</v>
      </c>
      <c r="K32">
        <v>470.88</v>
      </c>
      <c r="L32">
        <v>472.8</v>
      </c>
      <c r="M32">
        <v>475.76</v>
      </c>
      <c r="N32">
        <v>478.72</v>
      </c>
      <c r="O32">
        <v>480.48</v>
      </c>
      <c r="P32" s="36">
        <v>470.88</v>
      </c>
      <c r="Q32" s="36">
        <v>472.8</v>
      </c>
      <c r="R32" s="36">
        <v>475.76</v>
      </c>
      <c r="S32" s="36">
        <v>478.72</v>
      </c>
      <c r="T32" s="36">
        <v>480.48</v>
      </c>
      <c r="U32">
        <v>470.88</v>
      </c>
      <c r="V32">
        <v>472.8</v>
      </c>
      <c r="W32">
        <v>475.76</v>
      </c>
      <c r="X32">
        <v>478.72</v>
      </c>
      <c r="Y32">
        <v>480.48</v>
      </c>
      <c r="Z32" s="36">
        <v>470.88</v>
      </c>
      <c r="AA32" s="36">
        <v>472.8</v>
      </c>
      <c r="AB32" s="36">
        <v>475.76</v>
      </c>
      <c r="AC32" s="36">
        <v>478.72</v>
      </c>
      <c r="AD32" s="36">
        <v>480.48</v>
      </c>
      <c r="AE32">
        <v>470.88</v>
      </c>
      <c r="AF32">
        <v>472.8</v>
      </c>
      <c r="AG32">
        <v>475.76</v>
      </c>
      <c r="AH32">
        <v>478.72</v>
      </c>
      <c r="AI32">
        <v>480.48</v>
      </c>
      <c r="AJ32" s="36">
        <v>470.88</v>
      </c>
      <c r="AK32" s="36">
        <v>472.8</v>
      </c>
      <c r="AL32" s="36">
        <v>475.76</v>
      </c>
      <c r="AM32" s="36">
        <v>478.72</v>
      </c>
      <c r="AN32" s="36">
        <v>480.48</v>
      </c>
      <c r="AO32">
        <v>470.88</v>
      </c>
      <c r="AP32">
        <v>472.8</v>
      </c>
      <c r="AQ32">
        <v>475.76</v>
      </c>
      <c r="AR32">
        <v>478.72</v>
      </c>
      <c r="AS32">
        <v>480.48</v>
      </c>
      <c r="AT32" s="36">
        <v>470.88</v>
      </c>
      <c r="AU32" s="36">
        <v>472.8</v>
      </c>
      <c r="AV32" s="36">
        <v>475.76</v>
      </c>
      <c r="AW32" s="36">
        <v>478.72</v>
      </c>
      <c r="AX32" s="36">
        <v>480.48</v>
      </c>
      <c r="AY32">
        <v>470.88</v>
      </c>
      <c r="AZ32">
        <v>472.8</v>
      </c>
      <c r="BA32">
        <v>475.76</v>
      </c>
      <c r="BB32">
        <v>478.72</v>
      </c>
      <c r="BC32">
        <v>480.48</v>
      </c>
      <c r="BD32" s="36">
        <v>470.88</v>
      </c>
      <c r="BE32" s="36">
        <v>472.8</v>
      </c>
      <c r="BF32" s="36">
        <v>475.76</v>
      </c>
      <c r="BG32" s="36">
        <v>478.72</v>
      </c>
      <c r="BH32" s="36">
        <v>480.48</v>
      </c>
      <c r="BI32">
        <v>470.88</v>
      </c>
      <c r="BJ32">
        <v>472.8</v>
      </c>
      <c r="BK32">
        <v>475.76</v>
      </c>
      <c r="BL32">
        <v>478.72</v>
      </c>
      <c r="BM32">
        <v>480.48</v>
      </c>
      <c r="BN32" s="36">
        <v>470.88</v>
      </c>
      <c r="BO32" s="36">
        <v>472.8</v>
      </c>
      <c r="BP32" s="36">
        <v>475.76</v>
      </c>
      <c r="BQ32" s="36">
        <v>478.72</v>
      </c>
      <c r="BR32" s="36">
        <v>480.48</v>
      </c>
    </row>
    <row r="33" spans="1:70" x14ac:dyDescent="0.15">
      <c r="A33">
        <v>907.68</v>
      </c>
      <c r="B33">
        <v>909.6</v>
      </c>
      <c r="C33">
        <v>912.56</v>
      </c>
      <c r="D33">
        <v>915.52</v>
      </c>
      <c r="E33">
        <v>917.28</v>
      </c>
      <c r="F33" s="36">
        <v>485.44</v>
      </c>
      <c r="G33" s="36">
        <v>487.36</v>
      </c>
      <c r="H33" s="36">
        <v>490.32</v>
      </c>
      <c r="I33" s="36">
        <v>493.28</v>
      </c>
      <c r="J33" s="36">
        <v>495.04</v>
      </c>
      <c r="K33">
        <v>485.44</v>
      </c>
      <c r="L33">
        <v>487.36</v>
      </c>
      <c r="M33">
        <v>490.32</v>
      </c>
      <c r="N33">
        <v>493.28</v>
      </c>
      <c r="O33">
        <v>495.04</v>
      </c>
      <c r="P33" s="36">
        <v>485.44</v>
      </c>
      <c r="Q33" s="36">
        <v>487.36</v>
      </c>
      <c r="R33" s="36">
        <v>490.32</v>
      </c>
      <c r="S33" s="36">
        <v>493.28</v>
      </c>
      <c r="T33" s="36">
        <v>495.04</v>
      </c>
      <c r="U33">
        <v>485.44</v>
      </c>
      <c r="V33">
        <v>487.36</v>
      </c>
      <c r="W33">
        <v>490.32</v>
      </c>
      <c r="X33">
        <v>493.28</v>
      </c>
      <c r="Y33">
        <v>495.04</v>
      </c>
      <c r="Z33" s="36">
        <v>485.44</v>
      </c>
      <c r="AA33" s="36">
        <v>487.36</v>
      </c>
      <c r="AB33" s="36">
        <v>490.32</v>
      </c>
      <c r="AC33" s="36">
        <v>493.28</v>
      </c>
      <c r="AD33" s="36">
        <v>495.04</v>
      </c>
      <c r="AE33">
        <v>485.44</v>
      </c>
      <c r="AF33">
        <v>487.36</v>
      </c>
      <c r="AG33">
        <v>490.32</v>
      </c>
      <c r="AH33">
        <v>493.28</v>
      </c>
      <c r="AI33">
        <v>495.04</v>
      </c>
      <c r="AJ33" s="36">
        <v>485.44</v>
      </c>
      <c r="AK33" s="36">
        <v>487.36</v>
      </c>
      <c r="AL33" s="36">
        <v>490.32</v>
      </c>
      <c r="AM33" s="36">
        <v>493.28</v>
      </c>
      <c r="AN33" s="36">
        <v>495.04</v>
      </c>
      <c r="AO33">
        <v>485.44</v>
      </c>
      <c r="AP33">
        <v>487.36</v>
      </c>
      <c r="AQ33">
        <v>490.32</v>
      </c>
      <c r="AR33">
        <v>493.28</v>
      </c>
      <c r="AS33">
        <v>495.04</v>
      </c>
      <c r="AT33" s="36">
        <v>485.44</v>
      </c>
      <c r="AU33" s="36">
        <v>487.36</v>
      </c>
      <c r="AV33" s="36">
        <v>490.32</v>
      </c>
      <c r="AW33" s="36">
        <v>493.28</v>
      </c>
      <c r="AX33" s="36">
        <v>495.04</v>
      </c>
      <c r="AY33">
        <v>485.44</v>
      </c>
      <c r="AZ33">
        <v>487.36</v>
      </c>
      <c r="BA33">
        <v>490.32</v>
      </c>
      <c r="BB33">
        <v>493.28</v>
      </c>
      <c r="BC33">
        <v>495.04</v>
      </c>
      <c r="BD33" s="36">
        <v>485.44</v>
      </c>
      <c r="BE33" s="36">
        <v>487.36</v>
      </c>
      <c r="BF33" s="36">
        <v>490.32</v>
      </c>
      <c r="BG33" s="36">
        <v>493.28</v>
      </c>
      <c r="BH33" s="36">
        <v>495.04</v>
      </c>
      <c r="BI33">
        <v>485.44</v>
      </c>
      <c r="BJ33">
        <v>487.36</v>
      </c>
      <c r="BK33">
        <v>490.32</v>
      </c>
      <c r="BL33">
        <v>493.28</v>
      </c>
      <c r="BM33">
        <v>495.04</v>
      </c>
      <c r="BN33" s="36">
        <v>485.44</v>
      </c>
      <c r="BO33" s="36">
        <v>487.36</v>
      </c>
      <c r="BP33" s="36">
        <v>490.32</v>
      </c>
      <c r="BQ33" s="36">
        <v>493.28</v>
      </c>
      <c r="BR33" s="36">
        <v>495.04</v>
      </c>
    </row>
    <row r="34" spans="1:70" x14ac:dyDescent="0.15">
      <c r="A34">
        <v>922.24</v>
      </c>
      <c r="B34">
        <v>924.16</v>
      </c>
      <c r="C34">
        <v>927.12</v>
      </c>
      <c r="D34">
        <v>930.08</v>
      </c>
      <c r="E34">
        <v>931.84</v>
      </c>
      <c r="F34" s="36">
        <v>500</v>
      </c>
      <c r="G34" s="36">
        <v>501.92</v>
      </c>
      <c r="H34" s="36">
        <v>504.88</v>
      </c>
      <c r="I34" s="36">
        <v>507.84</v>
      </c>
      <c r="J34" s="36">
        <v>509.6</v>
      </c>
      <c r="K34">
        <v>500</v>
      </c>
      <c r="L34">
        <v>501.92</v>
      </c>
      <c r="M34">
        <v>504.88</v>
      </c>
      <c r="N34">
        <v>507.84</v>
      </c>
      <c r="O34">
        <v>509.6</v>
      </c>
      <c r="P34" s="36">
        <v>500</v>
      </c>
      <c r="Q34" s="36">
        <v>501.92</v>
      </c>
      <c r="R34" s="36">
        <v>504.88</v>
      </c>
      <c r="S34" s="36">
        <v>507.84</v>
      </c>
      <c r="T34" s="36">
        <v>509.6</v>
      </c>
      <c r="U34">
        <v>500</v>
      </c>
      <c r="V34">
        <v>501.92</v>
      </c>
      <c r="W34">
        <v>504.88</v>
      </c>
      <c r="X34">
        <v>507.84</v>
      </c>
      <c r="Y34">
        <v>509.6</v>
      </c>
      <c r="Z34" s="36">
        <v>500</v>
      </c>
      <c r="AA34" s="36">
        <v>501.92</v>
      </c>
      <c r="AB34" s="36">
        <v>504.88</v>
      </c>
      <c r="AC34" s="36">
        <v>507.84</v>
      </c>
      <c r="AD34" s="36">
        <v>509.6</v>
      </c>
      <c r="AE34">
        <v>500</v>
      </c>
      <c r="AF34">
        <v>501.92</v>
      </c>
      <c r="AG34">
        <v>504.88</v>
      </c>
      <c r="AH34">
        <v>507.84</v>
      </c>
      <c r="AI34">
        <v>509.6</v>
      </c>
      <c r="AJ34" s="36">
        <v>500</v>
      </c>
      <c r="AK34" s="36">
        <v>501.92</v>
      </c>
      <c r="AL34" s="36">
        <v>504.88</v>
      </c>
      <c r="AM34" s="36">
        <v>507.84</v>
      </c>
      <c r="AN34" s="36">
        <v>509.6</v>
      </c>
      <c r="AO34">
        <v>500</v>
      </c>
      <c r="AP34">
        <v>501.92</v>
      </c>
      <c r="AQ34">
        <v>504.88</v>
      </c>
      <c r="AR34">
        <v>507.84</v>
      </c>
      <c r="AS34">
        <v>509.6</v>
      </c>
      <c r="AT34" s="36">
        <v>500</v>
      </c>
      <c r="AU34" s="36">
        <v>501.92</v>
      </c>
      <c r="AV34" s="36">
        <v>504.88</v>
      </c>
      <c r="AW34" s="36">
        <v>507.84</v>
      </c>
      <c r="AX34" s="36">
        <v>509.6</v>
      </c>
      <c r="AY34">
        <v>500</v>
      </c>
      <c r="AZ34">
        <v>501.92</v>
      </c>
      <c r="BA34">
        <v>504.88</v>
      </c>
      <c r="BB34">
        <v>507.84</v>
      </c>
      <c r="BC34">
        <v>509.6</v>
      </c>
      <c r="BD34" s="36">
        <v>500</v>
      </c>
      <c r="BE34" s="36">
        <v>501.92</v>
      </c>
      <c r="BF34" s="36">
        <v>504.88</v>
      </c>
      <c r="BG34" s="36">
        <v>507.84</v>
      </c>
      <c r="BH34" s="36">
        <v>509.6</v>
      </c>
      <c r="BI34">
        <v>500</v>
      </c>
      <c r="BJ34">
        <v>501.92</v>
      </c>
      <c r="BK34">
        <v>504.88</v>
      </c>
      <c r="BL34">
        <v>507.84</v>
      </c>
      <c r="BM34">
        <v>509.6</v>
      </c>
      <c r="BN34" s="36">
        <v>500</v>
      </c>
      <c r="BO34" s="36">
        <v>501.92</v>
      </c>
      <c r="BP34" s="36">
        <v>504.88</v>
      </c>
      <c r="BQ34" s="36">
        <v>507.84</v>
      </c>
      <c r="BR34" s="36">
        <v>509.6</v>
      </c>
    </row>
    <row r="35" spans="1:70" x14ac:dyDescent="0.15">
      <c r="A35">
        <v>936.8</v>
      </c>
      <c r="B35">
        <v>938.72</v>
      </c>
      <c r="C35">
        <v>941.68</v>
      </c>
      <c r="D35">
        <v>944.64</v>
      </c>
      <c r="E35">
        <v>946.4</v>
      </c>
      <c r="F35" s="36">
        <v>514.55999999999995</v>
      </c>
      <c r="G35" s="36">
        <v>516.48</v>
      </c>
      <c r="H35" s="36">
        <v>519.44000000000005</v>
      </c>
      <c r="I35" s="36">
        <v>522.4</v>
      </c>
      <c r="J35" s="36">
        <v>524.16</v>
      </c>
      <c r="K35">
        <v>514.55999999999995</v>
      </c>
      <c r="L35">
        <v>516.48</v>
      </c>
      <c r="M35">
        <v>519.44000000000005</v>
      </c>
      <c r="N35">
        <v>522.4</v>
      </c>
      <c r="O35">
        <v>524.16</v>
      </c>
      <c r="P35" s="36">
        <v>514.55999999999995</v>
      </c>
      <c r="Q35" s="36">
        <v>516.48</v>
      </c>
      <c r="R35" s="36">
        <v>519.44000000000005</v>
      </c>
      <c r="S35" s="36">
        <v>522.4</v>
      </c>
      <c r="T35" s="36">
        <v>524.16</v>
      </c>
      <c r="U35">
        <v>514.55999999999995</v>
      </c>
      <c r="V35">
        <v>516.48</v>
      </c>
      <c r="W35">
        <v>519.44000000000005</v>
      </c>
      <c r="X35">
        <v>522.4</v>
      </c>
      <c r="Y35">
        <v>524.16</v>
      </c>
      <c r="Z35" s="36">
        <v>514.55999999999995</v>
      </c>
      <c r="AA35" s="36">
        <v>516.48</v>
      </c>
      <c r="AB35" s="36">
        <v>519.44000000000005</v>
      </c>
      <c r="AC35" s="36">
        <v>522.4</v>
      </c>
      <c r="AD35" s="36">
        <v>524.16</v>
      </c>
      <c r="AE35">
        <v>514.55999999999995</v>
      </c>
      <c r="AF35">
        <v>516.48</v>
      </c>
      <c r="AG35">
        <v>519.44000000000005</v>
      </c>
      <c r="AH35">
        <v>522.4</v>
      </c>
      <c r="AI35">
        <v>524.16</v>
      </c>
      <c r="AJ35" s="36">
        <v>514.55999999999995</v>
      </c>
      <c r="AK35" s="36">
        <v>516.48</v>
      </c>
      <c r="AL35" s="36">
        <v>519.44000000000005</v>
      </c>
      <c r="AM35" s="36">
        <v>522.4</v>
      </c>
      <c r="AN35" s="36">
        <v>524.16</v>
      </c>
      <c r="AO35">
        <v>514.55999999999995</v>
      </c>
      <c r="AP35">
        <v>516.48</v>
      </c>
      <c r="AQ35">
        <v>519.44000000000005</v>
      </c>
      <c r="AR35">
        <v>522.4</v>
      </c>
      <c r="AS35">
        <v>524.16</v>
      </c>
      <c r="AT35" s="36">
        <v>514.55999999999995</v>
      </c>
      <c r="AU35" s="36">
        <v>516.48</v>
      </c>
      <c r="AV35" s="36">
        <v>519.44000000000005</v>
      </c>
      <c r="AW35" s="36">
        <v>522.4</v>
      </c>
      <c r="AX35" s="36">
        <v>524.16</v>
      </c>
      <c r="AY35">
        <v>514.55999999999995</v>
      </c>
      <c r="AZ35">
        <v>516.48</v>
      </c>
      <c r="BA35">
        <v>519.44000000000005</v>
      </c>
      <c r="BB35">
        <v>522.4</v>
      </c>
      <c r="BC35">
        <v>524.16</v>
      </c>
      <c r="BD35" s="36">
        <v>514.55999999999995</v>
      </c>
      <c r="BE35" s="36">
        <v>516.48</v>
      </c>
      <c r="BF35" s="36">
        <v>519.44000000000005</v>
      </c>
      <c r="BG35" s="36">
        <v>522.4</v>
      </c>
      <c r="BH35" s="36">
        <v>524.16</v>
      </c>
      <c r="BI35">
        <v>514.55999999999995</v>
      </c>
      <c r="BJ35">
        <v>516.48</v>
      </c>
      <c r="BK35">
        <v>519.44000000000005</v>
      </c>
      <c r="BL35">
        <v>522.4</v>
      </c>
      <c r="BM35">
        <v>524.16</v>
      </c>
      <c r="BN35" s="36">
        <v>514.55999999999995</v>
      </c>
      <c r="BO35" s="36">
        <v>516.48</v>
      </c>
      <c r="BP35" s="36">
        <v>519.44000000000005</v>
      </c>
      <c r="BQ35" s="36">
        <v>522.4</v>
      </c>
      <c r="BR35" s="36">
        <v>524.16</v>
      </c>
    </row>
    <row r="36" spans="1:70" x14ac:dyDescent="0.15">
      <c r="A36">
        <v>951.36</v>
      </c>
      <c r="B36">
        <v>953.28</v>
      </c>
      <c r="C36">
        <v>956.24</v>
      </c>
      <c r="D36">
        <v>959.2</v>
      </c>
      <c r="E36">
        <v>960.96</v>
      </c>
      <c r="F36" s="36">
        <v>529.12</v>
      </c>
      <c r="G36" s="36">
        <v>531.04</v>
      </c>
      <c r="H36" s="36">
        <v>534</v>
      </c>
      <c r="I36" s="36">
        <v>536.96</v>
      </c>
      <c r="J36" s="36">
        <v>538.72</v>
      </c>
      <c r="K36">
        <v>529.12</v>
      </c>
      <c r="L36">
        <v>531.04</v>
      </c>
      <c r="M36">
        <v>534</v>
      </c>
      <c r="N36">
        <v>536.96</v>
      </c>
      <c r="O36">
        <v>538.72</v>
      </c>
      <c r="P36" s="36">
        <v>529.12</v>
      </c>
      <c r="Q36" s="36">
        <v>531.04</v>
      </c>
      <c r="R36" s="36">
        <v>534</v>
      </c>
      <c r="S36" s="36">
        <v>536.96</v>
      </c>
      <c r="T36" s="36">
        <v>538.72</v>
      </c>
      <c r="U36">
        <v>529.12</v>
      </c>
      <c r="V36">
        <v>531.04</v>
      </c>
      <c r="W36">
        <v>534</v>
      </c>
      <c r="X36">
        <v>536.96</v>
      </c>
      <c r="Y36">
        <v>538.72</v>
      </c>
      <c r="Z36" s="36">
        <v>529.12</v>
      </c>
      <c r="AA36" s="36">
        <v>531.04</v>
      </c>
      <c r="AB36" s="36">
        <v>534</v>
      </c>
      <c r="AC36" s="36">
        <v>536.96</v>
      </c>
      <c r="AD36" s="36">
        <v>538.72</v>
      </c>
      <c r="AE36">
        <v>529.12</v>
      </c>
      <c r="AF36">
        <v>531.04</v>
      </c>
      <c r="AG36">
        <v>534</v>
      </c>
      <c r="AH36">
        <v>536.96</v>
      </c>
      <c r="AI36">
        <v>538.72</v>
      </c>
      <c r="AJ36" s="36">
        <v>529.12</v>
      </c>
      <c r="AK36" s="36">
        <v>531.04</v>
      </c>
      <c r="AL36" s="36">
        <v>534</v>
      </c>
      <c r="AM36" s="36">
        <v>536.96</v>
      </c>
      <c r="AN36" s="36">
        <v>538.72</v>
      </c>
      <c r="AO36">
        <v>529.12</v>
      </c>
      <c r="AP36">
        <v>531.04</v>
      </c>
      <c r="AQ36">
        <v>534</v>
      </c>
      <c r="AR36">
        <v>536.96</v>
      </c>
      <c r="AS36">
        <v>538.72</v>
      </c>
      <c r="AT36" s="36">
        <v>529.12</v>
      </c>
      <c r="AU36" s="36">
        <v>531.04</v>
      </c>
      <c r="AV36" s="36">
        <v>534</v>
      </c>
      <c r="AW36" s="36">
        <v>536.96</v>
      </c>
      <c r="AX36" s="36">
        <v>538.72</v>
      </c>
      <c r="AY36">
        <v>529.12</v>
      </c>
      <c r="AZ36">
        <v>531.04</v>
      </c>
      <c r="BA36">
        <v>534</v>
      </c>
      <c r="BB36">
        <v>536.96</v>
      </c>
      <c r="BC36">
        <v>538.72</v>
      </c>
      <c r="BD36" s="36">
        <v>529.12</v>
      </c>
      <c r="BE36" s="36">
        <v>531.04</v>
      </c>
      <c r="BF36" s="36">
        <v>534</v>
      </c>
      <c r="BG36" s="36">
        <v>536.96</v>
      </c>
      <c r="BH36" s="36">
        <v>538.72</v>
      </c>
      <c r="BI36">
        <v>529.12</v>
      </c>
      <c r="BJ36">
        <v>531.04</v>
      </c>
      <c r="BK36">
        <v>534</v>
      </c>
      <c r="BL36">
        <v>536.96</v>
      </c>
      <c r="BM36">
        <v>538.72</v>
      </c>
      <c r="BN36" s="36">
        <v>529.12</v>
      </c>
      <c r="BO36" s="36">
        <v>531.04</v>
      </c>
      <c r="BP36" s="36">
        <v>534</v>
      </c>
      <c r="BQ36" s="36">
        <v>536.96</v>
      </c>
      <c r="BR36" s="36">
        <v>538.72</v>
      </c>
    </row>
    <row r="37" spans="1:70" x14ac:dyDescent="0.15">
      <c r="A37">
        <v>965.92</v>
      </c>
      <c r="B37">
        <v>967.84</v>
      </c>
      <c r="C37">
        <v>970.8</v>
      </c>
      <c r="D37">
        <v>973.76</v>
      </c>
      <c r="E37">
        <v>975.52</v>
      </c>
      <c r="F37" s="36">
        <v>543.67999999999995</v>
      </c>
      <c r="G37" s="36">
        <v>545.6</v>
      </c>
      <c r="H37" s="36">
        <v>548.55999999999995</v>
      </c>
      <c r="I37" s="36">
        <v>551.52</v>
      </c>
      <c r="J37" s="36">
        <v>553.28</v>
      </c>
      <c r="K37">
        <v>543.67999999999995</v>
      </c>
      <c r="L37">
        <v>545.6</v>
      </c>
      <c r="M37">
        <v>548.55999999999995</v>
      </c>
      <c r="N37">
        <v>551.52</v>
      </c>
      <c r="O37">
        <v>553.28</v>
      </c>
      <c r="P37" s="36">
        <v>543.67999999999995</v>
      </c>
      <c r="Q37" s="36">
        <v>545.6</v>
      </c>
      <c r="R37" s="36">
        <v>548.55999999999995</v>
      </c>
      <c r="S37" s="36">
        <v>551.52</v>
      </c>
      <c r="T37" s="36">
        <v>553.28</v>
      </c>
      <c r="U37">
        <v>543.67999999999995</v>
      </c>
      <c r="V37">
        <v>545.6</v>
      </c>
      <c r="W37">
        <v>548.55999999999995</v>
      </c>
      <c r="X37">
        <v>551.52</v>
      </c>
      <c r="Y37">
        <v>553.28</v>
      </c>
      <c r="Z37" s="36">
        <v>543.67999999999995</v>
      </c>
      <c r="AA37" s="36">
        <v>545.6</v>
      </c>
      <c r="AB37" s="36">
        <v>548.55999999999995</v>
      </c>
      <c r="AC37" s="36">
        <v>551.52</v>
      </c>
      <c r="AD37" s="36">
        <v>553.28</v>
      </c>
      <c r="AE37">
        <v>543.67999999999995</v>
      </c>
      <c r="AF37">
        <v>545.6</v>
      </c>
      <c r="AG37">
        <v>548.55999999999995</v>
      </c>
      <c r="AH37">
        <v>551.52</v>
      </c>
      <c r="AI37">
        <v>553.28</v>
      </c>
      <c r="AJ37" s="36">
        <v>543.67999999999995</v>
      </c>
      <c r="AK37" s="36">
        <v>545.6</v>
      </c>
      <c r="AL37" s="36">
        <v>548.55999999999995</v>
      </c>
      <c r="AM37" s="36">
        <v>551.52</v>
      </c>
      <c r="AN37" s="36">
        <v>553.28</v>
      </c>
      <c r="AO37">
        <v>543.67999999999995</v>
      </c>
      <c r="AP37">
        <v>545.6</v>
      </c>
      <c r="AQ37">
        <v>548.55999999999995</v>
      </c>
      <c r="AR37">
        <v>551.52</v>
      </c>
      <c r="AS37">
        <v>553.28</v>
      </c>
      <c r="AT37" s="36">
        <v>543.67999999999995</v>
      </c>
      <c r="AU37" s="36">
        <v>545.6</v>
      </c>
      <c r="AV37" s="36">
        <v>548.55999999999995</v>
      </c>
      <c r="AW37" s="36">
        <v>551.52</v>
      </c>
      <c r="AX37" s="36">
        <v>553.28</v>
      </c>
      <c r="AY37">
        <v>543.67999999999995</v>
      </c>
      <c r="AZ37">
        <v>545.6</v>
      </c>
      <c r="BA37">
        <v>548.55999999999995</v>
      </c>
      <c r="BB37">
        <v>551.52</v>
      </c>
      <c r="BC37">
        <v>553.28</v>
      </c>
      <c r="BD37" s="36">
        <v>543.67999999999995</v>
      </c>
      <c r="BE37" s="36">
        <v>545.6</v>
      </c>
      <c r="BF37" s="36">
        <v>548.55999999999995</v>
      </c>
      <c r="BG37" s="36">
        <v>551.52</v>
      </c>
      <c r="BH37" s="36">
        <v>553.28</v>
      </c>
      <c r="BI37">
        <v>543.67999999999995</v>
      </c>
      <c r="BJ37">
        <v>545.6</v>
      </c>
      <c r="BK37">
        <v>548.55999999999995</v>
      </c>
      <c r="BL37">
        <v>551.52</v>
      </c>
      <c r="BM37">
        <v>553.28</v>
      </c>
      <c r="BN37" s="36">
        <v>543.67999999999995</v>
      </c>
      <c r="BO37" s="36">
        <v>545.6</v>
      </c>
      <c r="BP37" s="36">
        <v>548.55999999999995</v>
      </c>
      <c r="BQ37" s="36">
        <v>551.52</v>
      </c>
      <c r="BR37" s="36">
        <v>553.28</v>
      </c>
    </row>
    <row r="38" spans="1:70" x14ac:dyDescent="0.15">
      <c r="A38">
        <v>980.48</v>
      </c>
      <c r="B38">
        <v>982.4</v>
      </c>
      <c r="C38">
        <v>985.36</v>
      </c>
      <c r="D38">
        <v>988.32</v>
      </c>
      <c r="E38">
        <v>990.08</v>
      </c>
      <c r="F38" s="36">
        <v>558.24</v>
      </c>
      <c r="G38" s="36">
        <v>560.16</v>
      </c>
      <c r="H38" s="36">
        <v>563.12</v>
      </c>
      <c r="I38" s="36">
        <v>566.08000000000004</v>
      </c>
      <c r="J38" s="36">
        <v>567.84</v>
      </c>
      <c r="K38">
        <v>558.24</v>
      </c>
      <c r="L38">
        <v>560.16</v>
      </c>
      <c r="M38">
        <v>563.12</v>
      </c>
      <c r="N38">
        <v>566.08000000000004</v>
      </c>
      <c r="O38">
        <v>567.84</v>
      </c>
      <c r="P38" s="36">
        <v>558.24</v>
      </c>
      <c r="Q38" s="36">
        <v>560.16</v>
      </c>
      <c r="R38" s="36">
        <v>563.12</v>
      </c>
      <c r="S38" s="36">
        <v>566.08000000000004</v>
      </c>
      <c r="T38" s="36">
        <v>567.84</v>
      </c>
      <c r="U38">
        <v>558.24</v>
      </c>
      <c r="V38">
        <v>560.16</v>
      </c>
      <c r="W38">
        <v>563.12</v>
      </c>
      <c r="X38">
        <v>566.08000000000004</v>
      </c>
      <c r="Y38">
        <v>567.84</v>
      </c>
      <c r="Z38" s="36">
        <v>558.24</v>
      </c>
      <c r="AA38" s="36">
        <v>560.16</v>
      </c>
      <c r="AB38" s="36">
        <v>563.12</v>
      </c>
      <c r="AC38" s="36">
        <v>566.08000000000004</v>
      </c>
      <c r="AD38" s="36">
        <v>567.84</v>
      </c>
      <c r="AE38">
        <v>558.24</v>
      </c>
      <c r="AF38">
        <v>560.16</v>
      </c>
      <c r="AG38">
        <v>563.12</v>
      </c>
      <c r="AH38">
        <v>566.08000000000004</v>
      </c>
      <c r="AI38">
        <v>567.84</v>
      </c>
      <c r="AJ38" s="36">
        <v>558.24</v>
      </c>
      <c r="AK38" s="36">
        <v>560.16</v>
      </c>
      <c r="AL38" s="36">
        <v>563.12</v>
      </c>
      <c r="AM38" s="36">
        <v>566.08000000000004</v>
      </c>
      <c r="AN38" s="36">
        <v>567.84</v>
      </c>
      <c r="AO38">
        <v>558.24</v>
      </c>
      <c r="AP38">
        <v>560.16</v>
      </c>
      <c r="AQ38">
        <v>563.12</v>
      </c>
      <c r="AR38">
        <v>566.08000000000004</v>
      </c>
      <c r="AS38">
        <v>567.84</v>
      </c>
      <c r="AT38" s="36">
        <v>558.24</v>
      </c>
      <c r="AU38" s="36">
        <v>560.16</v>
      </c>
      <c r="AV38" s="36">
        <v>563.12</v>
      </c>
      <c r="AW38" s="36">
        <v>566.08000000000004</v>
      </c>
      <c r="AX38" s="36">
        <v>567.84</v>
      </c>
      <c r="AY38">
        <v>558.24</v>
      </c>
      <c r="AZ38">
        <v>560.16</v>
      </c>
      <c r="BA38">
        <v>563.12</v>
      </c>
      <c r="BB38">
        <v>566.08000000000004</v>
      </c>
      <c r="BC38">
        <v>567.84</v>
      </c>
      <c r="BD38" s="36">
        <v>558.24</v>
      </c>
      <c r="BE38" s="36">
        <v>560.16</v>
      </c>
      <c r="BF38" s="36">
        <v>563.12</v>
      </c>
      <c r="BG38" s="36">
        <v>566.08000000000004</v>
      </c>
      <c r="BH38" s="36">
        <v>567.84</v>
      </c>
      <c r="BI38">
        <v>558.24</v>
      </c>
      <c r="BJ38">
        <v>560.16</v>
      </c>
      <c r="BK38">
        <v>563.12</v>
      </c>
      <c r="BL38">
        <v>566.08000000000004</v>
      </c>
      <c r="BM38">
        <v>567.84</v>
      </c>
      <c r="BN38" s="36">
        <v>558.24</v>
      </c>
      <c r="BO38" s="36">
        <v>560.16</v>
      </c>
      <c r="BP38" s="36">
        <v>563.12</v>
      </c>
      <c r="BQ38" s="36">
        <v>566.08000000000004</v>
      </c>
      <c r="BR38" s="36">
        <v>567.84</v>
      </c>
    </row>
    <row r="39" spans="1:70" x14ac:dyDescent="0.15">
      <c r="A39">
        <v>995.04</v>
      </c>
      <c r="B39">
        <v>996.96</v>
      </c>
      <c r="C39">
        <v>999.92</v>
      </c>
      <c r="D39">
        <v>1002.88</v>
      </c>
      <c r="E39">
        <v>1004.64</v>
      </c>
      <c r="F39" s="36">
        <v>572.79999999999995</v>
      </c>
      <c r="G39" s="36">
        <v>574.72</v>
      </c>
      <c r="H39" s="36">
        <v>577.67999999999995</v>
      </c>
      <c r="I39" s="36">
        <v>580.64</v>
      </c>
      <c r="J39" s="36">
        <v>582.4</v>
      </c>
      <c r="K39">
        <v>572.79999999999995</v>
      </c>
      <c r="L39">
        <v>574.72</v>
      </c>
      <c r="M39">
        <v>577.67999999999995</v>
      </c>
      <c r="N39">
        <v>580.64</v>
      </c>
      <c r="O39">
        <v>582.4</v>
      </c>
      <c r="P39" s="36">
        <v>572.79999999999995</v>
      </c>
      <c r="Q39" s="36">
        <v>574.72</v>
      </c>
      <c r="R39" s="36">
        <v>577.67999999999995</v>
      </c>
      <c r="S39" s="36">
        <v>580.64</v>
      </c>
      <c r="T39" s="36">
        <v>582.4</v>
      </c>
      <c r="U39">
        <v>572.79999999999995</v>
      </c>
      <c r="V39">
        <v>574.72</v>
      </c>
      <c r="W39">
        <v>577.67999999999995</v>
      </c>
      <c r="X39">
        <v>580.64</v>
      </c>
      <c r="Y39">
        <v>582.4</v>
      </c>
      <c r="Z39" s="36">
        <v>572.79999999999995</v>
      </c>
      <c r="AA39" s="36">
        <v>574.72</v>
      </c>
      <c r="AB39" s="36">
        <v>577.67999999999995</v>
      </c>
      <c r="AC39" s="36">
        <v>580.64</v>
      </c>
      <c r="AD39" s="36">
        <v>582.4</v>
      </c>
      <c r="AE39">
        <v>572.79999999999995</v>
      </c>
      <c r="AF39">
        <v>574.72</v>
      </c>
      <c r="AG39">
        <v>577.67999999999995</v>
      </c>
      <c r="AH39">
        <v>580.64</v>
      </c>
      <c r="AI39">
        <v>582.4</v>
      </c>
      <c r="AJ39" s="36">
        <v>572.79999999999995</v>
      </c>
      <c r="AK39" s="36">
        <v>574.72</v>
      </c>
      <c r="AL39" s="36">
        <v>577.67999999999995</v>
      </c>
      <c r="AM39" s="36">
        <v>580.64</v>
      </c>
      <c r="AN39" s="36">
        <v>582.4</v>
      </c>
      <c r="AO39">
        <v>572.79999999999995</v>
      </c>
      <c r="AP39">
        <v>574.72</v>
      </c>
      <c r="AQ39">
        <v>577.67999999999995</v>
      </c>
      <c r="AR39">
        <v>580.64</v>
      </c>
      <c r="AS39">
        <v>582.4</v>
      </c>
      <c r="AT39" s="36">
        <v>572.79999999999995</v>
      </c>
      <c r="AU39" s="36">
        <v>574.72</v>
      </c>
      <c r="AV39" s="36">
        <v>577.67999999999995</v>
      </c>
      <c r="AW39" s="36">
        <v>580.64</v>
      </c>
      <c r="AX39" s="36">
        <v>582.4</v>
      </c>
      <c r="AY39">
        <v>572.79999999999995</v>
      </c>
      <c r="AZ39">
        <v>574.72</v>
      </c>
      <c r="BA39">
        <v>577.67999999999995</v>
      </c>
      <c r="BB39">
        <v>580.64</v>
      </c>
      <c r="BC39">
        <v>582.4</v>
      </c>
      <c r="BD39" s="36">
        <v>572.79999999999995</v>
      </c>
      <c r="BE39" s="36">
        <v>574.72</v>
      </c>
      <c r="BF39" s="36">
        <v>577.67999999999995</v>
      </c>
      <c r="BG39" s="36">
        <v>580.64</v>
      </c>
      <c r="BH39" s="36">
        <v>582.4</v>
      </c>
      <c r="BI39">
        <v>572.79999999999995</v>
      </c>
      <c r="BJ39">
        <v>574.72</v>
      </c>
      <c r="BK39">
        <v>577.67999999999995</v>
      </c>
      <c r="BL39">
        <v>580.64</v>
      </c>
      <c r="BM39">
        <v>582.4</v>
      </c>
      <c r="BN39" s="36">
        <v>572.79999999999995</v>
      </c>
      <c r="BO39" s="36">
        <v>574.72</v>
      </c>
      <c r="BP39" s="36">
        <v>577.67999999999995</v>
      </c>
      <c r="BQ39" s="36">
        <v>580.64</v>
      </c>
      <c r="BR39" s="36">
        <v>582.4</v>
      </c>
    </row>
    <row r="40" spans="1:70" x14ac:dyDescent="0.15">
      <c r="A40">
        <v>1009.6</v>
      </c>
      <c r="B40">
        <v>1011.52</v>
      </c>
      <c r="C40">
        <v>1014.48</v>
      </c>
      <c r="D40">
        <v>1017.44</v>
      </c>
      <c r="E40">
        <v>1019.2</v>
      </c>
      <c r="F40" s="36">
        <v>587.36</v>
      </c>
      <c r="G40" s="36">
        <v>589.28</v>
      </c>
      <c r="H40" s="36">
        <v>592.24</v>
      </c>
      <c r="I40" s="36">
        <v>595.20000000000005</v>
      </c>
      <c r="J40" s="36">
        <v>596.96</v>
      </c>
      <c r="K40">
        <v>587.36</v>
      </c>
      <c r="L40">
        <v>589.28</v>
      </c>
      <c r="M40">
        <v>592.24</v>
      </c>
      <c r="N40">
        <v>595.20000000000005</v>
      </c>
      <c r="O40">
        <v>596.96</v>
      </c>
      <c r="P40" s="36">
        <v>587.36</v>
      </c>
      <c r="Q40" s="36">
        <v>589.28</v>
      </c>
      <c r="R40" s="36">
        <v>592.24</v>
      </c>
      <c r="S40" s="36">
        <v>595.20000000000005</v>
      </c>
      <c r="T40" s="36">
        <v>596.96</v>
      </c>
      <c r="U40">
        <v>587.36</v>
      </c>
      <c r="V40">
        <v>589.28</v>
      </c>
      <c r="W40">
        <v>592.24</v>
      </c>
      <c r="X40">
        <v>595.20000000000005</v>
      </c>
      <c r="Y40">
        <v>596.96</v>
      </c>
      <c r="Z40" s="36">
        <v>587.36</v>
      </c>
      <c r="AA40" s="36">
        <v>589.28</v>
      </c>
      <c r="AB40" s="36">
        <v>592.24</v>
      </c>
      <c r="AC40" s="36">
        <v>595.20000000000005</v>
      </c>
      <c r="AD40" s="36">
        <v>596.96</v>
      </c>
      <c r="AE40">
        <v>587.36</v>
      </c>
      <c r="AF40">
        <v>589.28</v>
      </c>
      <c r="AG40">
        <v>592.24</v>
      </c>
      <c r="AH40">
        <v>595.20000000000005</v>
      </c>
      <c r="AI40">
        <v>596.96</v>
      </c>
      <c r="AJ40" s="36">
        <v>587.36</v>
      </c>
      <c r="AK40" s="36">
        <v>589.28</v>
      </c>
      <c r="AL40" s="36">
        <v>592.24</v>
      </c>
      <c r="AM40" s="36">
        <v>595.20000000000005</v>
      </c>
      <c r="AN40" s="36">
        <v>596.96</v>
      </c>
      <c r="AO40">
        <v>587.36</v>
      </c>
      <c r="AP40">
        <v>589.28</v>
      </c>
      <c r="AQ40">
        <v>592.24</v>
      </c>
      <c r="AR40">
        <v>595.20000000000005</v>
      </c>
      <c r="AS40">
        <v>596.96</v>
      </c>
      <c r="AT40" s="36">
        <v>587.36</v>
      </c>
      <c r="AU40" s="36">
        <v>589.28</v>
      </c>
      <c r="AV40" s="36">
        <v>592.24</v>
      </c>
      <c r="AW40" s="36">
        <v>595.20000000000005</v>
      </c>
      <c r="AX40" s="36">
        <v>596.96</v>
      </c>
      <c r="AY40">
        <v>587.36</v>
      </c>
      <c r="AZ40">
        <v>589.28</v>
      </c>
      <c r="BA40">
        <v>592.24</v>
      </c>
      <c r="BB40">
        <v>595.20000000000005</v>
      </c>
      <c r="BC40">
        <v>596.96</v>
      </c>
      <c r="BD40" s="36">
        <v>587.36</v>
      </c>
      <c r="BE40" s="36">
        <v>589.28</v>
      </c>
      <c r="BF40" s="36">
        <v>592.24</v>
      </c>
      <c r="BG40" s="36">
        <v>595.20000000000005</v>
      </c>
      <c r="BH40" s="36">
        <v>596.96</v>
      </c>
      <c r="BI40">
        <v>587.36</v>
      </c>
      <c r="BJ40">
        <v>589.28</v>
      </c>
      <c r="BK40">
        <v>592.24</v>
      </c>
      <c r="BL40">
        <v>595.20000000000005</v>
      </c>
      <c r="BM40">
        <v>596.96</v>
      </c>
      <c r="BN40" s="36">
        <v>587.36</v>
      </c>
      <c r="BO40" s="36">
        <v>589.28</v>
      </c>
      <c r="BP40" s="36">
        <v>592.24</v>
      </c>
      <c r="BQ40" s="36">
        <v>595.20000000000005</v>
      </c>
      <c r="BR40" s="36">
        <v>596.96</v>
      </c>
    </row>
    <row r="41" spans="1:70" x14ac:dyDescent="0.15">
      <c r="A41">
        <v>1024.1600000000001</v>
      </c>
      <c r="B41">
        <v>1026.08</v>
      </c>
      <c r="C41">
        <v>1029.04</v>
      </c>
      <c r="D41">
        <v>1032</v>
      </c>
      <c r="E41">
        <v>1033.76</v>
      </c>
      <c r="F41" s="36">
        <v>601.91999999999996</v>
      </c>
      <c r="G41" s="36">
        <v>603.84</v>
      </c>
      <c r="H41" s="36">
        <v>606.79999999999995</v>
      </c>
      <c r="I41" s="36">
        <v>609.76</v>
      </c>
      <c r="J41" s="36">
        <v>611.52</v>
      </c>
      <c r="K41">
        <v>601.91999999999996</v>
      </c>
      <c r="L41">
        <v>603.84</v>
      </c>
      <c r="M41">
        <v>606.79999999999995</v>
      </c>
      <c r="N41">
        <v>609.76</v>
      </c>
      <c r="O41">
        <v>611.52</v>
      </c>
      <c r="P41" s="36">
        <v>601.91999999999996</v>
      </c>
      <c r="Q41" s="36">
        <v>603.84</v>
      </c>
      <c r="R41" s="36">
        <v>606.79999999999995</v>
      </c>
      <c r="S41" s="36">
        <v>609.76</v>
      </c>
      <c r="T41" s="36">
        <v>611.52</v>
      </c>
      <c r="U41">
        <v>601.91999999999996</v>
      </c>
      <c r="V41">
        <v>603.84</v>
      </c>
      <c r="W41">
        <v>606.79999999999995</v>
      </c>
      <c r="X41">
        <v>609.76</v>
      </c>
      <c r="Y41">
        <v>611.52</v>
      </c>
      <c r="Z41" s="36">
        <v>601.91999999999996</v>
      </c>
      <c r="AA41" s="36">
        <v>603.84</v>
      </c>
      <c r="AB41" s="36">
        <v>606.79999999999995</v>
      </c>
      <c r="AC41" s="36">
        <v>609.76</v>
      </c>
      <c r="AD41" s="36">
        <v>611.52</v>
      </c>
      <c r="AE41">
        <v>601.91999999999996</v>
      </c>
      <c r="AF41">
        <v>603.84</v>
      </c>
      <c r="AG41">
        <v>606.79999999999995</v>
      </c>
      <c r="AH41">
        <v>609.76</v>
      </c>
      <c r="AI41">
        <v>611.52</v>
      </c>
      <c r="AJ41" s="36">
        <v>601.91999999999996</v>
      </c>
      <c r="AK41" s="36">
        <v>603.84</v>
      </c>
      <c r="AL41" s="36">
        <v>606.79999999999995</v>
      </c>
      <c r="AM41" s="36">
        <v>609.76</v>
      </c>
      <c r="AN41" s="36">
        <v>611.52</v>
      </c>
      <c r="AO41">
        <v>601.91999999999996</v>
      </c>
      <c r="AP41">
        <v>603.84</v>
      </c>
      <c r="AQ41">
        <v>606.79999999999995</v>
      </c>
      <c r="AR41">
        <v>609.76</v>
      </c>
      <c r="AS41">
        <v>611.52</v>
      </c>
      <c r="AT41" s="36">
        <v>601.91999999999996</v>
      </c>
      <c r="AU41" s="36">
        <v>603.84</v>
      </c>
      <c r="AV41" s="36">
        <v>606.79999999999995</v>
      </c>
      <c r="AW41" s="36">
        <v>609.76</v>
      </c>
      <c r="AX41" s="36">
        <v>611.52</v>
      </c>
      <c r="AY41">
        <v>601.91999999999996</v>
      </c>
      <c r="AZ41">
        <v>603.84</v>
      </c>
      <c r="BA41">
        <v>606.79999999999995</v>
      </c>
      <c r="BB41">
        <v>609.76</v>
      </c>
      <c r="BC41">
        <v>611.52</v>
      </c>
      <c r="BD41" s="36">
        <v>601.91999999999996</v>
      </c>
      <c r="BE41" s="36">
        <v>603.84</v>
      </c>
      <c r="BF41" s="36">
        <v>606.79999999999995</v>
      </c>
      <c r="BG41" s="36">
        <v>609.76</v>
      </c>
      <c r="BH41" s="36">
        <v>611.52</v>
      </c>
      <c r="BI41">
        <v>601.91999999999996</v>
      </c>
      <c r="BJ41">
        <v>603.84</v>
      </c>
      <c r="BK41">
        <v>606.79999999999995</v>
      </c>
      <c r="BL41">
        <v>609.76</v>
      </c>
      <c r="BM41">
        <v>611.52</v>
      </c>
      <c r="BN41" s="36">
        <v>601.91999999999996</v>
      </c>
      <c r="BO41" s="36">
        <v>603.84</v>
      </c>
      <c r="BP41" s="36">
        <v>606.79999999999995</v>
      </c>
      <c r="BQ41" s="36">
        <v>609.76</v>
      </c>
      <c r="BR41" s="36">
        <v>611.52</v>
      </c>
    </row>
    <row r="42" spans="1:70" x14ac:dyDescent="0.15">
      <c r="A42">
        <v>1038.72</v>
      </c>
      <c r="B42">
        <v>1040.6400000000001</v>
      </c>
      <c r="C42">
        <v>1043.5999999999999</v>
      </c>
      <c r="D42">
        <v>1046.56</v>
      </c>
      <c r="E42">
        <v>1048.32</v>
      </c>
      <c r="F42" s="36">
        <v>616.48</v>
      </c>
      <c r="G42" s="36">
        <v>618.4</v>
      </c>
      <c r="H42" s="36">
        <v>621.36</v>
      </c>
      <c r="I42" s="36">
        <v>624.32000000000005</v>
      </c>
      <c r="J42" s="36">
        <v>626.08000000000004</v>
      </c>
      <c r="K42">
        <v>616.48</v>
      </c>
      <c r="L42">
        <v>618.4</v>
      </c>
      <c r="M42">
        <v>621.36</v>
      </c>
      <c r="N42">
        <v>624.32000000000005</v>
      </c>
      <c r="O42">
        <v>626.08000000000004</v>
      </c>
      <c r="P42" s="36">
        <v>616.48</v>
      </c>
      <c r="Q42" s="36">
        <v>618.4</v>
      </c>
      <c r="R42" s="36">
        <v>621.36</v>
      </c>
      <c r="S42" s="36">
        <v>624.32000000000005</v>
      </c>
      <c r="T42" s="36">
        <v>626.08000000000004</v>
      </c>
      <c r="U42">
        <v>616.48</v>
      </c>
      <c r="V42">
        <v>618.4</v>
      </c>
      <c r="W42">
        <v>621.36</v>
      </c>
      <c r="X42">
        <v>624.32000000000005</v>
      </c>
      <c r="Y42">
        <v>626.08000000000004</v>
      </c>
      <c r="Z42" s="36">
        <v>616.48</v>
      </c>
      <c r="AA42" s="36">
        <v>618.4</v>
      </c>
      <c r="AB42" s="36">
        <v>621.36</v>
      </c>
      <c r="AC42" s="36">
        <v>624.32000000000005</v>
      </c>
      <c r="AD42" s="36">
        <v>626.08000000000004</v>
      </c>
      <c r="AE42">
        <v>616.48</v>
      </c>
      <c r="AF42">
        <v>618.4</v>
      </c>
      <c r="AG42">
        <v>621.36</v>
      </c>
      <c r="AH42">
        <v>624.32000000000005</v>
      </c>
      <c r="AI42">
        <v>626.08000000000004</v>
      </c>
      <c r="AJ42" s="36">
        <v>616.48</v>
      </c>
      <c r="AK42" s="36">
        <v>618.4</v>
      </c>
      <c r="AL42" s="36">
        <v>621.36</v>
      </c>
      <c r="AM42" s="36">
        <v>624.32000000000005</v>
      </c>
      <c r="AN42" s="36">
        <v>626.08000000000004</v>
      </c>
      <c r="AO42">
        <v>616.48</v>
      </c>
      <c r="AP42">
        <v>618.4</v>
      </c>
      <c r="AQ42">
        <v>621.36</v>
      </c>
      <c r="AR42">
        <v>624.32000000000005</v>
      </c>
      <c r="AS42">
        <v>626.08000000000004</v>
      </c>
      <c r="AT42" s="36">
        <v>616.48</v>
      </c>
      <c r="AU42" s="36">
        <v>618.4</v>
      </c>
      <c r="AV42" s="36">
        <v>621.36</v>
      </c>
      <c r="AW42" s="36">
        <v>624.32000000000005</v>
      </c>
      <c r="AX42" s="36">
        <v>626.08000000000004</v>
      </c>
      <c r="AY42">
        <v>616.48</v>
      </c>
      <c r="AZ42">
        <v>618.4</v>
      </c>
      <c r="BA42">
        <v>621.36</v>
      </c>
      <c r="BB42">
        <v>624.32000000000005</v>
      </c>
      <c r="BC42">
        <v>626.08000000000004</v>
      </c>
      <c r="BD42" s="36">
        <v>616.48</v>
      </c>
      <c r="BE42" s="36">
        <v>618.4</v>
      </c>
      <c r="BF42" s="36">
        <v>621.36</v>
      </c>
      <c r="BG42" s="36">
        <v>624.32000000000005</v>
      </c>
      <c r="BH42" s="36">
        <v>626.08000000000004</v>
      </c>
      <c r="BI42">
        <v>616.48</v>
      </c>
      <c r="BJ42">
        <v>618.4</v>
      </c>
      <c r="BK42">
        <v>621.36</v>
      </c>
      <c r="BL42">
        <v>624.32000000000005</v>
      </c>
      <c r="BM42">
        <v>626.08000000000004</v>
      </c>
      <c r="BN42" s="36">
        <v>616.48</v>
      </c>
      <c r="BO42" s="36">
        <v>618.4</v>
      </c>
      <c r="BP42" s="36">
        <v>621.36</v>
      </c>
      <c r="BQ42" s="36">
        <v>624.32000000000005</v>
      </c>
      <c r="BR42" s="36">
        <v>626.08000000000004</v>
      </c>
    </row>
    <row r="43" spans="1:70" x14ac:dyDescent="0.15">
      <c r="A43">
        <v>1053.28</v>
      </c>
      <c r="B43">
        <v>1055.2</v>
      </c>
      <c r="C43">
        <v>1058.1600000000001</v>
      </c>
      <c r="D43">
        <v>1061.1199999999999</v>
      </c>
      <c r="E43">
        <v>1062.8800000000001</v>
      </c>
      <c r="F43" s="36">
        <v>631.04</v>
      </c>
      <c r="G43" s="36">
        <v>632.96</v>
      </c>
      <c r="H43" s="36">
        <v>635.91999999999996</v>
      </c>
      <c r="I43" s="36">
        <v>638.88</v>
      </c>
      <c r="J43" s="36">
        <v>640.64</v>
      </c>
      <c r="K43">
        <v>631.04</v>
      </c>
      <c r="L43">
        <v>632.96</v>
      </c>
      <c r="M43">
        <v>635.91999999999996</v>
      </c>
      <c r="N43">
        <v>638.88</v>
      </c>
      <c r="O43">
        <v>640.64</v>
      </c>
      <c r="P43" s="36">
        <v>631.04</v>
      </c>
      <c r="Q43" s="36">
        <v>632.96</v>
      </c>
      <c r="R43" s="36">
        <v>635.91999999999996</v>
      </c>
      <c r="S43" s="36">
        <v>638.88</v>
      </c>
      <c r="T43" s="36">
        <v>640.64</v>
      </c>
      <c r="U43">
        <v>631.04</v>
      </c>
      <c r="V43">
        <v>632.96</v>
      </c>
      <c r="W43">
        <v>635.91999999999996</v>
      </c>
      <c r="X43">
        <v>638.88</v>
      </c>
      <c r="Y43">
        <v>640.64</v>
      </c>
      <c r="Z43" s="36">
        <v>631.04</v>
      </c>
      <c r="AA43" s="36">
        <v>632.96</v>
      </c>
      <c r="AB43" s="36">
        <v>635.91999999999996</v>
      </c>
      <c r="AC43" s="36">
        <v>638.88</v>
      </c>
      <c r="AD43" s="36">
        <v>640.64</v>
      </c>
      <c r="AE43">
        <v>631.04</v>
      </c>
      <c r="AF43">
        <v>632.96</v>
      </c>
      <c r="AG43">
        <v>635.91999999999996</v>
      </c>
      <c r="AH43">
        <v>638.88</v>
      </c>
      <c r="AI43">
        <v>640.64</v>
      </c>
      <c r="AJ43" s="36">
        <v>631.04</v>
      </c>
      <c r="AK43" s="36">
        <v>632.96</v>
      </c>
      <c r="AL43" s="36">
        <v>635.91999999999996</v>
      </c>
      <c r="AM43" s="36">
        <v>638.88</v>
      </c>
      <c r="AN43" s="36">
        <v>640.64</v>
      </c>
      <c r="AO43">
        <v>631.04</v>
      </c>
      <c r="AP43">
        <v>632.96</v>
      </c>
      <c r="AQ43">
        <v>635.91999999999996</v>
      </c>
      <c r="AR43">
        <v>638.88</v>
      </c>
      <c r="AS43">
        <v>640.64</v>
      </c>
      <c r="AT43" s="36">
        <v>631.04</v>
      </c>
      <c r="AU43" s="36">
        <v>632.96</v>
      </c>
      <c r="AV43" s="36">
        <v>635.91999999999996</v>
      </c>
      <c r="AW43" s="36">
        <v>638.88</v>
      </c>
      <c r="AX43" s="36">
        <v>640.64</v>
      </c>
      <c r="AY43">
        <v>631.04</v>
      </c>
      <c r="AZ43">
        <v>632.96</v>
      </c>
      <c r="BA43">
        <v>635.91999999999996</v>
      </c>
      <c r="BB43">
        <v>638.88</v>
      </c>
      <c r="BC43">
        <v>640.64</v>
      </c>
      <c r="BD43" s="36">
        <v>631.04</v>
      </c>
      <c r="BE43" s="36">
        <v>632.96</v>
      </c>
      <c r="BF43" s="36">
        <v>635.91999999999996</v>
      </c>
      <c r="BG43" s="36">
        <v>638.88</v>
      </c>
      <c r="BH43" s="36">
        <v>640.64</v>
      </c>
      <c r="BI43">
        <v>631.04</v>
      </c>
      <c r="BJ43">
        <v>632.96</v>
      </c>
      <c r="BK43">
        <v>635.91999999999996</v>
      </c>
      <c r="BL43">
        <v>638.88</v>
      </c>
      <c r="BM43">
        <v>640.64</v>
      </c>
      <c r="BN43" s="36">
        <v>631.04</v>
      </c>
      <c r="BO43" s="36">
        <v>632.96</v>
      </c>
      <c r="BP43" s="36">
        <v>635.91999999999996</v>
      </c>
      <c r="BQ43" s="36">
        <v>638.88</v>
      </c>
      <c r="BR43" s="36">
        <v>640.64</v>
      </c>
    </row>
    <row r="44" spans="1:70" x14ac:dyDescent="0.15">
      <c r="A44">
        <v>1067.8399999999999</v>
      </c>
      <c r="B44">
        <v>1069.76</v>
      </c>
      <c r="C44">
        <v>1072.72</v>
      </c>
      <c r="D44">
        <v>1075.68</v>
      </c>
      <c r="E44">
        <v>1077.44</v>
      </c>
      <c r="F44" s="36">
        <v>645.6</v>
      </c>
      <c r="G44" s="36">
        <v>647.52</v>
      </c>
      <c r="H44" s="36">
        <v>650.48</v>
      </c>
      <c r="I44" s="36">
        <v>653.44000000000005</v>
      </c>
      <c r="J44" s="36">
        <v>655.20000000000005</v>
      </c>
      <c r="K44">
        <v>645.6</v>
      </c>
      <c r="L44">
        <v>647.52</v>
      </c>
      <c r="M44">
        <v>650.48</v>
      </c>
      <c r="N44">
        <v>653.44000000000005</v>
      </c>
      <c r="O44">
        <v>655.20000000000005</v>
      </c>
      <c r="P44" s="36">
        <v>645.6</v>
      </c>
      <c r="Q44" s="36">
        <v>647.52</v>
      </c>
      <c r="R44" s="36">
        <v>650.48</v>
      </c>
      <c r="S44" s="36">
        <v>653.44000000000005</v>
      </c>
      <c r="T44" s="36">
        <v>655.20000000000005</v>
      </c>
      <c r="U44">
        <v>645.6</v>
      </c>
      <c r="V44">
        <v>647.52</v>
      </c>
      <c r="W44">
        <v>650.48</v>
      </c>
      <c r="X44">
        <v>653.44000000000005</v>
      </c>
      <c r="Y44">
        <v>655.20000000000005</v>
      </c>
      <c r="Z44" s="36">
        <v>645.6</v>
      </c>
      <c r="AA44" s="36">
        <v>647.52</v>
      </c>
      <c r="AB44" s="36">
        <v>650.48</v>
      </c>
      <c r="AC44" s="36">
        <v>653.44000000000005</v>
      </c>
      <c r="AD44" s="36">
        <v>655.20000000000005</v>
      </c>
      <c r="AE44">
        <v>645.6</v>
      </c>
      <c r="AF44">
        <v>647.52</v>
      </c>
      <c r="AG44">
        <v>650.48</v>
      </c>
      <c r="AH44">
        <v>653.44000000000005</v>
      </c>
      <c r="AI44">
        <v>655.20000000000005</v>
      </c>
      <c r="AJ44" s="36">
        <v>645.6</v>
      </c>
      <c r="AK44" s="36">
        <v>647.52</v>
      </c>
      <c r="AL44" s="36">
        <v>650.48</v>
      </c>
      <c r="AM44" s="36">
        <v>653.44000000000005</v>
      </c>
      <c r="AN44" s="36">
        <v>655.20000000000005</v>
      </c>
      <c r="AO44">
        <v>645.6</v>
      </c>
      <c r="AP44">
        <v>647.52</v>
      </c>
      <c r="AQ44">
        <v>650.48</v>
      </c>
      <c r="AR44">
        <v>653.44000000000005</v>
      </c>
      <c r="AS44">
        <v>655.20000000000005</v>
      </c>
      <c r="AT44" s="36">
        <v>645.6</v>
      </c>
      <c r="AU44" s="36">
        <v>647.52</v>
      </c>
      <c r="AV44" s="36">
        <v>650.48</v>
      </c>
      <c r="AW44" s="36">
        <v>653.44000000000005</v>
      </c>
      <c r="AX44" s="36">
        <v>655.20000000000005</v>
      </c>
      <c r="AY44">
        <v>645.6</v>
      </c>
      <c r="AZ44">
        <v>647.52</v>
      </c>
      <c r="BA44">
        <v>650.48</v>
      </c>
      <c r="BB44">
        <v>653.44000000000005</v>
      </c>
      <c r="BC44">
        <v>655.20000000000005</v>
      </c>
      <c r="BD44" s="36">
        <v>645.6</v>
      </c>
      <c r="BE44" s="36">
        <v>647.52</v>
      </c>
      <c r="BF44" s="36">
        <v>650.48</v>
      </c>
      <c r="BG44" s="36">
        <v>653.44000000000005</v>
      </c>
      <c r="BH44" s="36">
        <v>655.20000000000005</v>
      </c>
      <c r="BI44">
        <v>645.6</v>
      </c>
      <c r="BJ44">
        <v>647.52</v>
      </c>
      <c r="BK44">
        <v>650.48</v>
      </c>
      <c r="BL44">
        <v>653.44000000000005</v>
      </c>
      <c r="BM44">
        <v>655.20000000000005</v>
      </c>
      <c r="BN44" s="36">
        <v>645.6</v>
      </c>
      <c r="BO44" s="36">
        <v>647.52</v>
      </c>
      <c r="BP44" s="36">
        <v>650.48</v>
      </c>
      <c r="BQ44" s="36">
        <v>653.44000000000005</v>
      </c>
      <c r="BR44" s="36">
        <v>655.20000000000005</v>
      </c>
    </row>
    <row r="45" spans="1:70" x14ac:dyDescent="0.15">
      <c r="A45">
        <v>1082.4000000000001</v>
      </c>
      <c r="B45">
        <v>1084.32</v>
      </c>
      <c r="C45">
        <v>1087.28</v>
      </c>
      <c r="D45">
        <v>1090.24</v>
      </c>
      <c r="E45">
        <v>1092</v>
      </c>
      <c r="F45" s="36">
        <v>660.16</v>
      </c>
      <c r="G45" s="36">
        <v>662.08</v>
      </c>
      <c r="H45" s="36">
        <v>665.04</v>
      </c>
      <c r="I45" s="36">
        <v>668</v>
      </c>
      <c r="J45" s="36">
        <v>669.76</v>
      </c>
      <c r="K45">
        <v>660.16</v>
      </c>
      <c r="L45">
        <v>662.08</v>
      </c>
      <c r="M45">
        <v>665.04</v>
      </c>
      <c r="N45">
        <v>668</v>
      </c>
      <c r="O45">
        <v>669.76</v>
      </c>
      <c r="P45" s="36">
        <v>660.16</v>
      </c>
      <c r="Q45" s="36">
        <v>662.08</v>
      </c>
      <c r="R45" s="36">
        <v>665.04</v>
      </c>
      <c r="S45" s="36">
        <v>668</v>
      </c>
      <c r="T45" s="36">
        <v>669.76</v>
      </c>
      <c r="U45">
        <v>660.16</v>
      </c>
      <c r="V45">
        <v>662.08</v>
      </c>
      <c r="W45">
        <v>665.04</v>
      </c>
      <c r="X45">
        <v>668</v>
      </c>
      <c r="Y45">
        <v>669.76</v>
      </c>
      <c r="Z45" s="36">
        <v>660.16</v>
      </c>
      <c r="AA45" s="36">
        <v>662.08</v>
      </c>
      <c r="AB45" s="36">
        <v>665.04</v>
      </c>
      <c r="AC45" s="36">
        <v>668</v>
      </c>
      <c r="AD45" s="36">
        <v>669.76</v>
      </c>
      <c r="AE45">
        <v>660.16</v>
      </c>
      <c r="AF45">
        <v>662.08</v>
      </c>
      <c r="AG45">
        <v>665.04</v>
      </c>
      <c r="AH45">
        <v>668</v>
      </c>
      <c r="AI45">
        <v>669.76</v>
      </c>
      <c r="AJ45" s="36">
        <v>660.16</v>
      </c>
      <c r="AK45" s="36">
        <v>662.08</v>
      </c>
      <c r="AL45" s="36">
        <v>665.04</v>
      </c>
      <c r="AM45" s="36">
        <v>668</v>
      </c>
      <c r="AN45" s="36">
        <v>669.76</v>
      </c>
      <c r="AO45">
        <v>660.16</v>
      </c>
      <c r="AP45">
        <v>662.08</v>
      </c>
      <c r="AQ45">
        <v>665.04</v>
      </c>
      <c r="AR45">
        <v>668</v>
      </c>
      <c r="AS45">
        <v>669.76</v>
      </c>
      <c r="AT45" s="36">
        <v>660.16</v>
      </c>
      <c r="AU45" s="36">
        <v>662.08</v>
      </c>
      <c r="AV45" s="36">
        <v>665.04</v>
      </c>
      <c r="AW45" s="36">
        <v>668</v>
      </c>
      <c r="AX45" s="36">
        <v>669.76</v>
      </c>
      <c r="AY45">
        <v>660.16</v>
      </c>
      <c r="AZ45">
        <v>662.08</v>
      </c>
      <c r="BA45">
        <v>665.04</v>
      </c>
      <c r="BB45">
        <v>668</v>
      </c>
      <c r="BC45">
        <v>669.76</v>
      </c>
      <c r="BD45" s="36">
        <v>660.16</v>
      </c>
      <c r="BE45" s="36">
        <v>662.08</v>
      </c>
      <c r="BF45" s="36">
        <v>665.04</v>
      </c>
      <c r="BG45" s="36">
        <v>668</v>
      </c>
      <c r="BH45" s="36">
        <v>669.76</v>
      </c>
      <c r="BI45">
        <v>660.16</v>
      </c>
      <c r="BJ45">
        <v>662.08</v>
      </c>
      <c r="BK45">
        <v>665.04</v>
      </c>
      <c r="BL45">
        <v>668</v>
      </c>
      <c r="BM45">
        <v>669.76</v>
      </c>
      <c r="BN45" s="36">
        <v>660.16</v>
      </c>
      <c r="BO45" s="36">
        <v>662.08</v>
      </c>
      <c r="BP45" s="36">
        <v>665.04</v>
      </c>
      <c r="BQ45" s="36">
        <v>668</v>
      </c>
      <c r="BR45" s="36">
        <v>669.76</v>
      </c>
    </row>
    <row r="46" spans="1:70" x14ac:dyDescent="0.15">
      <c r="A46">
        <v>1096.96</v>
      </c>
      <c r="B46">
        <v>1098.8800000000001</v>
      </c>
      <c r="C46">
        <v>1101.8399999999999</v>
      </c>
      <c r="D46">
        <v>1104.8</v>
      </c>
      <c r="E46">
        <v>1106.56</v>
      </c>
      <c r="F46" s="36">
        <v>674.72</v>
      </c>
      <c r="G46" s="36">
        <v>676.64</v>
      </c>
      <c r="H46" s="36">
        <v>679.6</v>
      </c>
      <c r="I46" s="36">
        <v>682.56</v>
      </c>
      <c r="J46" s="36">
        <v>684.32</v>
      </c>
      <c r="K46">
        <v>674.72</v>
      </c>
      <c r="L46">
        <v>676.64</v>
      </c>
      <c r="M46">
        <v>679.6</v>
      </c>
      <c r="N46">
        <v>682.56</v>
      </c>
      <c r="O46">
        <v>684.32</v>
      </c>
      <c r="P46" s="36">
        <v>674.72</v>
      </c>
      <c r="Q46" s="36">
        <v>676.64</v>
      </c>
      <c r="R46" s="36">
        <v>679.6</v>
      </c>
      <c r="S46" s="36">
        <v>682.56</v>
      </c>
      <c r="T46" s="36">
        <v>684.32</v>
      </c>
      <c r="U46">
        <v>674.72</v>
      </c>
      <c r="V46">
        <v>676.64</v>
      </c>
      <c r="W46">
        <v>679.6</v>
      </c>
      <c r="X46">
        <v>682.56</v>
      </c>
      <c r="Y46">
        <v>684.32</v>
      </c>
      <c r="Z46" s="36">
        <v>674.72</v>
      </c>
      <c r="AA46" s="36">
        <v>676.64</v>
      </c>
      <c r="AB46" s="36">
        <v>679.6</v>
      </c>
      <c r="AC46" s="36">
        <v>682.56</v>
      </c>
      <c r="AD46" s="36">
        <v>684.32</v>
      </c>
      <c r="AE46">
        <v>674.72</v>
      </c>
      <c r="AF46">
        <v>676.64</v>
      </c>
      <c r="AG46">
        <v>679.6</v>
      </c>
      <c r="AH46">
        <v>682.56</v>
      </c>
      <c r="AI46">
        <v>684.32</v>
      </c>
      <c r="AJ46" s="36">
        <v>674.72</v>
      </c>
      <c r="AK46" s="36">
        <v>676.64</v>
      </c>
      <c r="AL46" s="36">
        <v>679.6</v>
      </c>
      <c r="AM46" s="36">
        <v>682.56</v>
      </c>
      <c r="AN46" s="36">
        <v>684.32</v>
      </c>
      <c r="AO46">
        <v>674.72</v>
      </c>
      <c r="AP46">
        <v>676.64</v>
      </c>
      <c r="AQ46">
        <v>679.6</v>
      </c>
      <c r="AR46">
        <v>682.56</v>
      </c>
      <c r="AS46">
        <v>684.32</v>
      </c>
      <c r="AT46" s="36">
        <v>674.72</v>
      </c>
      <c r="AU46" s="36">
        <v>676.64</v>
      </c>
      <c r="AV46" s="36">
        <v>679.6</v>
      </c>
      <c r="AW46" s="36">
        <v>682.56</v>
      </c>
      <c r="AX46" s="36">
        <v>684.32</v>
      </c>
      <c r="AY46">
        <v>674.72</v>
      </c>
      <c r="AZ46">
        <v>676.64</v>
      </c>
      <c r="BA46">
        <v>679.6</v>
      </c>
      <c r="BB46">
        <v>682.56</v>
      </c>
      <c r="BC46">
        <v>684.32</v>
      </c>
      <c r="BD46" s="36">
        <v>674.72</v>
      </c>
      <c r="BE46" s="36">
        <v>676.64</v>
      </c>
      <c r="BF46" s="36">
        <v>679.6</v>
      </c>
      <c r="BG46" s="36">
        <v>682.56</v>
      </c>
      <c r="BH46" s="36">
        <v>684.32</v>
      </c>
      <c r="BI46">
        <v>674.72</v>
      </c>
      <c r="BJ46">
        <v>676.64</v>
      </c>
      <c r="BK46">
        <v>679.6</v>
      </c>
      <c r="BL46">
        <v>682.56</v>
      </c>
      <c r="BM46">
        <v>684.32</v>
      </c>
      <c r="BN46" s="36">
        <v>674.72</v>
      </c>
      <c r="BO46" s="36">
        <v>676.64</v>
      </c>
      <c r="BP46" s="36">
        <v>679.6</v>
      </c>
      <c r="BQ46" s="36">
        <v>682.56</v>
      </c>
      <c r="BR46" s="36">
        <v>684.32</v>
      </c>
    </row>
    <row r="47" spans="1:70" x14ac:dyDescent="0.15">
      <c r="A47">
        <v>1111.52</v>
      </c>
      <c r="B47">
        <v>1113.44</v>
      </c>
      <c r="C47">
        <v>1116.4000000000001</v>
      </c>
      <c r="D47">
        <v>1119.3599999999999</v>
      </c>
      <c r="E47">
        <v>1121.1199999999999</v>
      </c>
      <c r="F47" s="36">
        <v>689.28</v>
      </c>
      <c r="G47" s="36">
        <v>691.2</v>
      </c>
      <c r="H47" s="36">
        <v>694.16</v>
      </c>
      <c r="I47" s="36">
        <v>697.12</v>
      </c>
      <c r="J47" s="36">
        <v>698.88</v>
      </c>
      <c r="K47">
        <v>689.28</v>
      </c>
      <c r="L47">
        <v>691.2</v>
      </c>
      <c r="M47">
        <v>694.16</v>
      </c>
      <c r="N47">
        <v>697.12</v>
      </c>
      <c r="O47">
        <v>698.88</v>
      </c>
      <c r="P47" s="36">
        <v>689.28</v>
      </c>
      <c r="Q47" s="36">
        <v>691.2</v>
      </c>
      <c r="R47" s="36">
        <v>694.16</v>
      </c>
      <c r="S47" s="36">
        <v>697.12</v>
      </c>
      <c r="T47" s="36">
        <v>698.88</v>
      </c>
      <c r="U47">
        <v>689.28</v>
      </c>
      <c r="V47">
        <v>691.2</v>
      </c>
      <c r="W47">
        <v>694.16</v>
      </c>
      <c r="X47">
        <v>697.12</v>
      </c>
      <c r="Y47">
        <v>698.88</v>
      </c>
      <c r="Z47" s="36">
        <v>689.28</v>
      </c>
      <c r="AA47" s="36">
        <v>691.2</v>
      </c>
      <c r="AB47" s="36">
        <v>694.16</v>
      </c>
      <c r="AC47" s="36">
        <v>697.12</v>
      </c>
      <c r="AD47" s="36">
        <v>698.88</v>
      </c>
      <c r="AE47">
        <v>689.28</v>
      </c>
      <c r="AF47">
        <v>691.2</v>
      </c>
      <c r="AG47">
        <v>694.16</v>
      </c>
      <c r="AH47">
        <v>697.12</v>
      </c>
      <c r="AI47">
        <v>698.88</v>
      </c>
      <c r="AJ47" s="36">
        <v>689.28</v>
      </c>
      <c r="AK47" s="36">
        <v>691.2</v>
      </c>
      <c r="AL47" s="36">
        <v>694.16</v>
      </c>
      <c r="AM47" s="36">
        <v>697.12</v>
      </c>
      <c r="AN47" s="36">
        <v>698.88</v>
      </c>
      <c r="AO47">
        <v>689.28</v>
      </c>
      <c r="AP47">
        <v>691.2</v>
      </c>
      <c r="AQ47">
        <v>694.16</v>
      </c>
      <c r="AR47">
        <v>697.12</v>
      </c>
      <c r="AS47">
        <v>698.88</v>
      </c>
      <c r="AT47" s="36">
        <v>689.28</v>
      </c>
      <c r="AU47" s="36">
        <v>691.2</v>
      </c>
      <c r="AV47" s="36">
        <v>694.16</v>
      </c>
      <c r="AW47" s="36">
        <v>697.12</v>
      </c>
      <c r="AX47" s="36">
        <v>698.88</v>
      </c>
      <c r="AY47">
        <v>689.28</v>
      </c>
      <c r="AZ47">
        <v>691.2</v>
      </c>
      <c r="BA47">
        <v>694.16</v>
      </c>
      <c r="BB47">
        <v>697.12</v>
      </c>
      <c r="BC47">
        <v>698.88</v>
      </c>
      <c r="BD47" s="36">
        <v>689.28</v>
      </c>
      <c r="BE47" s="36">
        <v>691.2</v>
      </c>
      <c r="BF47" s="36">
        <v>694.16</v>
      </c>
      <c r="BG47" s="36">
        <v>697.12</v>
      </c>
      <c r="BH47" s="36">
        <v>698.88</v>
      </c>
      <c r="BI47">
        <v>689.28</v>
      </c>
      <c r="BJ47">
        <v>691.2</v>
      </c>
      <c r="BK47">
        <v>694.16</v>
      </c>
      <c r="BL47">
        <v>697.12</v>
      </c>
      <c r="BM47">
        <v>698.88</v>
      </c>
      <c r="BN47" s="36">
        <v>689.28</v>
      </c>
      <c r="BO47" s="36">
        <v>691.2</v>
      </c>
      <c r="BP47" s="36">
        <v>694.16</v>
      </c>
      <c r="BQ47" s="36">
        <v>697.12</v>
      </c>
      <c r="BR47" s="36">
        <v>698.88</v>
      </c>
    </row>
    <row r="48" spans="1:70" x14ac:dyDescent="0.15">
      <c r="A48">
        <v>1126.08</v>
      </c>
      <c r="B48">
        <v>1128</v>
      </c>
      <c r="C48">
        <v>1130.96</v>
      </c>
      <c r="D48">
        <v>1133.92</v>
      </c>
      <c r="E48">
        <v>1135.68</v>
      </c>
      <c r="F48" s="36">
        <v>703.84</v>
      </c>
      <c r="G48" s="36">
        <v>705.76</v>
      </c>
      <c r="H48" s="36">
        <v>708.72</v>
      </c>
      <c r="I48" s="36">
        <v>711.68</v>
      </c>
      <c r="J48" s="36">
        <v>713.44</v>
      </c>
      <c r="K48">
        <v>703.84</v>
      </c>
      <c r="L48">
        <v>705.76</v>
      </c>
      <c r="M48">
        <v>708.72</v>
      </c>
      <c r="N48">
        <v>711.68</v>
      </c>
      <c r="O48">
        <v>713.44</v>
      </c>
      <c r="P48" s="36">
        <v>703.84</v>
      </c>
      <c r="Q48" s="36">
        <v>705.76</v>
      </c>
      <c r="R48" s="36">
        <v>708.72</v>
      </c>
      <c r="S48" s="36">
        <v>711.68</v>
      </c>
      <c r="T48" s="36">
        <v>713.44</v>
      </c>
      <c r="U48">
        <v>703.84</v>
      </c>
      <c r="V48">
        <v>705.76</v>
      </c>
      <c r="W48">
        <v>708.72</v>
      </c>
      <c r="X48">
        <v>711.68</v>
      </c>
      <c r="Y48">
        <v>713.44</v>
      </c>
      <c r="Z48" s="36">
        <v>703.84</v>
      </c>
      <c r="AA48" s="36">
        <v>705.76</v>
      </c>
      <c r="AB48" s="36">
        <v>708.72</v>
      </c>
      <c r="AC48" s="36">
        <v>711.68</v>
      </c>
      <c r="AD48" s="36">
        <v>713.44</v>
      </c>
      <c r="AE48">
        <v>703.84</v>
      </c>
      <c r="AF48">
        <v>705.76</v>
      </c>
      <c r="AG48">
        <v>708.72</v>
      </c>
      <c r="AH48">
        <v>711.68</v>
      </c>
      <c r="AI48">
        <v>713.44</v>
      </c>
      <c r="AJ48" s="36">
        <v>703.84</v>
      </c>
      <c r="AK48" s="36">
        <v>705.76</v>
      </c>
      <c r="AL48" s="36">
        <v>708.72</v>
      </c>
      <c r="AM48" s="36">
        <v>711.68</v>
      </c>
      <c r="AN48" s="36">
        <v>713.44</v>
      </c>
      <c r="AO48">
        <v>703.84</v>
      </c>
      <c r="AP48">
        <v>705.76</v>
      </c>
      <c r="AQ48">
        <v>708.72</v>
      </c>
      <c r="AR48">
        <v>711.68</v>
      </c>
      <c r="AS48">
        <v>713.44</v>
      </c>
      <c r="AT48" s="36">
        <v>703.84</v>
      </c>
      <c r="AU48" s="36">
        <v>705.76</v>
      </c>
      <c r="AV48" s="36">
        <v>708.72</v>
      </c>
      <c r="AW48" s="36">
        <v>711.68</v>
      </c>
      <c r="AX48" s="36">
        <v>713.44</v>
      </c>
      <c r="AY48">
        <v>703.84</v>
      </c>
      <c r="AZ48">
        <v>705.76</v>
      </c>
      <c r="BA48">
        <v>708.72</v>
      </c>
      <c r="BB48">
        <v>711.68</v>
      </c>
      <c r="BC48">
        <v>713.44</v>
      </c>
      <c r="BD48" s="36">
        <v>703.84</v>
      </c>
      <c r="BE48" s="36">
        <v>705.76</v>
      </c>
      <c r="BF48" s="36">
        <v>708.72</v>
      </c>
      <c r="BG48" s="36">
        <v>711.68</v>
      </c>
      <c r="BH48" s="36">
        <v>713.44</v>
      </c>
      <c r="BI48">
        <v>703.84</v>
      </c>
      <c r="BJ48">
        <v>705.76</v>
      </c>
      <c r="BK48">
        <v>708.72</v>
      </c>
      <c r="BL48">
        <v>711.68</v>
      </c>
      <c r="BM48">
        <v>713.44</v>
      </c>
      <c r="BN48" s="36">
        <v>703.84</v>
      </c>
      <c r="BO48" s="36">
        <v>705.76</v>
      </c>
      <c r="BP48" s="36">
        <v>708.72</v>
      </c>
      <c r="BQ48" s="36">
        <v>711.68</v>
      </c>
      <c r="BR48" s="36">
        <v>713.44</v>
      </c>
    </row>
    <row r="49" spans="1:70" x14ac:dyDescent="0.15">
      <c r="A49">
        <v>1140.6400000000001</v>
      </c>
      <c r="B49">
        <v>1142.56</v>
      </c>
      <c r="C49">
        <v>1145.52</v>
      </c>
      <c r="D49">
        <v>1148.48</v>
      </c>
      <c r="E49">
        <v>1150.24</v>
      </c>
      <c r="F49" s="36">
        <v>718.4</v>
      </c>
      <c r="G49" s="36">
        <v>720.32</v>
      </c>
      <c r="H49" s="36">
        <v>723.28</v>
      </c>
      <c r="I49" s="36">
        <v>726.24</v>
      </c>
      <c r="J49" s="36">
        <v>728</v>
      </c>
      <c r="K49">
        <v>718.4</v>
      </c>
      <c r="L49">
        <v>720.32</v>
      </c>
      <c r="M49">
        <v>723.28</v>
      </c>
      <c r="N49">
        <v>726.24</v>
      </c>
      <c r="O49">
        <v>728</v>
      </c>
      <c r="P49" s="36">
        <v>718.4</v>
      </c>
      <c r="Q49" s="36">
        <v>720.32</v>
      </c>
      <c r="R49" s="36">
        <v>723.28</v>
      </c>
      <c r="S49" s="36">
        <v>726.24</v>
      </c>
      <c r="T49" s="36">
        <v>728</v>
      </c>
      <c r="U49">
        <v>718.4</v>
      </c>
      <c r="V49">
        <v>720.32</v>
      </c>
      <c r="W49">
        <v>723.28</v>
      </c>
      <c r="X49">
        <v>726.24</v>
      </c>
      <c r="Y49">
        <v>728</v>
      </c>
      <c r="Z49" s="36">
        <v>718.4</v>
      </c>
      <c r="AA49" s="36">
        <v>720.32</v>
      </c>
      <c r="AB49" s="36">
        <v>723.28</v>
      </c>
      <c r="AC49" s="36">
        <v>726.24</v>
      </c>
      <c r="AD49" s="36">
        <v>728</v>
      </c>
      <c r="AE49">
        <v>718.4</v>
      </c>
      <c r="AF49">
        <v>720.32</v>
      </c>
      <c r="AG49">
        <v>723.28</v>
      </c>
      <c r="AH49">
        <v>726.24</v>
      </c>
      <c r="AI49">
        <v>728</v>
      </c>
      <c r="AJ49" s="36">
        <v>718.4</v>
      </c>
      <c r="AK49" s="36">
        <v>720.32</v>
      </c>
      <c r="AL49" s="36">
        <v>723.28</v>
      </c>
      <c r="AM49" s="36">
        <v>726.24</v>
      </c>
      <c r="AN49" s="36">
        <v>728</v>
      </c>
      <c r="AO49">
        <v>718.4</v>
      </c>
      <c r="AP49">
        <v>720.32</v>
      </c>
      <c r="AQ49">
        <v>723.28</v>
      </c>
      <c r="AR49">
        <v>726.24</v>
      </c>
      <c r="AS49">
        <v>728</v>
      </c>
      <c r="AT49" s="36">
        <v>718.4</v>
      </c>
      <c r="AU49" s="36">
        <v>720.32</v>
      </c>
      <c r="AV49" s="36">
        <v>723.28</v>
      </c>
      <c r="AW49" s="36">
        <v>726.24</v>
      </c>
      <c r="AX49" s="36">
        <v>728</v>
      </c>
      <c r="AY49">
        <v>718.4</v>
      </c>
      <c r="AZ49">
        <v>720.32</v>
      </c>
      <c r="BA49">
        <v>723.28</v>
      </c>
      <c r="BB49">
        <v>726.24</v>
      </c>
      <c r="BC49">
        <v>728</v>
      </c>
      <c r="BD49" s="36">
        <v>718.4</v>
      </c>
      <c r="BE49" s="36">
        <v>720.32</v>
      </c>
      <c r="BF49" s="36">
        <v>723.28</v>
      </c>
      <c r="BG49" s="36">
        <v>726.24</v>
      </c>
      <c r="BH49" s="36">
        <v>728</v>
      </c>
      <c r="BI49">
        <v>718.4</v>
      </c>
      <c r="BJ49">
        <v>720.32</v>
      </c>
      <c r="BK49">
        <v>723.28</v>
      </c>
      <c r="BL49">
        <v>726.24</v>
      </c>
      <c r="BM49">
        <v>728</v>
      </c>
      <c r="BN49" s="36">
        <v>718.4</v>
      </c>
      <c r="BO49" s="36">
        <v>720.32</v>
      </c>
      <c r="BP49" s="36">
        <v>723.28</v>
      </c>
      <c r="BQ49" s="36">
        <v>726.24</v>
      </c>
      <c r="BR49" s="36">
        <v>728</v>
      </c>
    </row>
    <row r="50" spans="1:70" x14ac:dyDescent="0.15">
      <c r="A50">
        <v>1155.2</v>
      </c>
      <c r="B50">
        <v>1157.1199999999999</v>
      </c>
      <c r="C50">
        <v>1160.08</v>
      </c>
      <c r="D50">
        <v>1163.04</v>
      </c>
      <c r="E50">
        <v>1164.8</v>
      </c>
    </row>
    <row r="51" spans="1:70" x14ac:dyDescent="0.15">
      <c r="A51">
        <v>1169.76</v>
      </c>
      <c r="B51">
        <v>1171.68</v>
      </c>
      <c r="C51">
        <v>1174.6400000000001</v>
      </c>
      <c r="D51">
        <v>1177.5999999999999</v>
      </c>
      <c r="E51">
        <v>1179.3599999999999</v>
      </c>
    </row>
    <row r="52" spans="1:70" x14ac:dyDescent="0.15">
      <c r="A52">
        <v>1184.32</v>
      </c>
      <c r="B52">
        <v>1186.24</v>
      </c>
      <c r="C52">
        <v>1189.2</v>
      </c>
      <c r="D52">
        <v>1192.1600000000001</v>
      </c>
      <c r="E52">
        <v>1193.92</v>
      </c>
    </row>
    <row r="53" spans="1:70" x14ac:dyDescent="0.15">
      <c r="A53">
        <v>1198.8800000000001</v>
      </c>
      <c r="B53">
        <v>1200.8</v>
      </c>
      <c r="C53">
        <v>1203.76</v>
      </c>
      <c r="D53">
        <v>1206.72</v>
      </c>
      <c r="E53">
        <v>1208.48</v>
      </c>
    </row>
    <row r="54" spans="1:70" x14ac:dyDescent="0.15">
      <c r="A54">
        <v>1213.44</v>
      </c>
      <c r="B54">
        <v>1215.3599999999999</v>
      </c>
      <c r="C54">
        <v>1218.32</v>
      </c>
      <c r="D54">
        <v>1221.28</v>
      </c>
      <c r="E54">
        <v>1223.04</v>
      </c>
    </row>
    <row r="55" spans="1:70" x14ac:dyDescent="0.15">
      <c r="A55">
        <v>1228</v>
      </c>
      <c r="B55">
        <v>1229.92</v>
      </c>
      <c r="C55">
        <v>1232.8800000000001</v>
      </c>
      <c r="D55">
        <v>1235.8399999999999</v>
      </c>
      <c r="E55">
        <v>1237.5999999999999</v>
      </c>
    </row>
    <row r="56" spans="1:70" x14ac:dyDescent="0.15">
      <c r="A56">
        <v>1242.56</v>
      </c>
      <c r="B56">
        <v>1244.48</v>
      </c>
      <c r="C56">
        <v>1247.44</v>
      </c>
      <c r="D56">
        <v>1250.4000000000001</v>
      </c>
      <c r="E56">
        <v>1252.1600000000001</v>
      </c>
    </row>
    <row r="57" spans="1:70" x14ac:dyDescent="0.15">
      <c r="A57">
        <v>1257.1199999999999</v>
      </c>
      <c r="B57">
        <v>1259.04</v>
      </c>
      <c r="C57">
        <v>1262</v>
      </c>
      <c r="D57">
        <v>1264.96</v>
      </c>
      <c r="E57">
        <v>1266.72</v>
      </c>
    </row>
    <row r="58" spans="1:70" x14ac:dyDescent="0.15">
      <c r="A58">
        <v>1271.68</v>
      </c>
      <c r="B58">
        <v>1273.5999999999999</v>
      </c>
      <c r="C58">
        <v>1276.56</v>
      </c>
      <c r="D58">
        <v>1279.52</v>
      </c>
      <c r="E58">
        <v>1281.28</v>
      </c>
    </row>
    <row r="59" spans="1:70" x14ac:dyDescent="0.15">
      <c r="A59">
        <v>1286.24</v>
      </c>
      <c r="B59">
        <v>1288.1600000000001</v>
      </c>
      <c r="C59">
        <v>1291.1199999999999</v>
      </c>
      <c r="D59">
        <v>1294.08</v>
      </c>
      <c r="E59">
        <v>1295.8399999999999</v>
      </c>
    </row>
    <row r="60" spans="1:70" x14ac:dyDescent="0.15">
      <c r="A60">
        <v>1300.8</v>
      </c>
      <c r="B60">
        <v>1302.72</v>
      </c>
      <c r="C60">
        <v>1305.68</v>
      </c>
      <c r="D60">
        <v>1308.6400000000001</v>
      </c>
      <c r="E60">
        <v>1310.4000000000001</v>
      </c>
    </row>
    <row r="61" spans="1:70" x14ac:dyDescent="0.15">
      <c r="A61">
        <v>1315.36</v>
      </c>
      <c r="B61">
        <v>1317.28</v>
      </c>
      <c r="C61">
        <v>1320.24</v>
      </c>
      <c r="D61">
        <v>1323.2</v>
      </c>
      <c r="E61">
        <v>1324.96</v>
      </c>
    </row>
    <row r="62" spans="1:70" x14ac:dyDescent="0.15">
      <c r="A62">
        <v>1329.92</v>
      </c>
      <c r="B62">
        <v>1331.84</v>
      </c>
      <c r="C62">
        <v>1334.8</v>
      </c>
      <c r="D62">
        <v>1337.76</v>
      </c>
      <c r="E62">
        <v>1339.52</v>
      </c>
    </row>
    <row r="63" spans="1:70" x14ac:dyDescent="0.15">
      <c r="A63">
        <v>1344.48</v>
      </c>
      <c r="B63">
        <v>1346.4</v>
      </c>
      <c r="C63">
        <v>1349.36</v>
      </c>
      <c r="D63">
        <v>1352.32</v>
      </c>
      <c r="E63">
        <v>1354.08</v>
      </c>
    </row>
    <row r="64" spans="1:70" x14ac:dyDescent="0.15">
      <c r="A64">
        <v>1359.04</v>
      </c>
      <c r="B64">
        <v>1360.96</v>
      </c>
      <c r="C64">
        <v>1363.92</v>
      </c>
      <c r="D64">
        <v>1366.88</v>
      </c>
      <c r="E64">
        <v>1368.64</v>
      </c>
    </row>
    <row r="65" spans="1:5" x14ac:dyDescent="0.15">
      <c r="A65">
        <v>1373.6</v>
      </c>
      <c r="B65">
        <v>1375.52</v>
      </c>
      <c r="C65">
        <v>1378.48</v>
      </c>
      <c r="D65">
        <v>1381.44</v>
      </c>
      <c r="E65">
        <v>1383.2</v>
      </c>
    </row>
    <row r="66" spans="1:5" x14ac:dyDescent="0.15">
      <c r="A66">
        <v>1388.16</v>
      </c>
      <c r="B66">
        <v>1390.08</v>
      </c>
      <c r="C66">
        <v>1393.04</v>
      </c>
      <c r="D66">
        <v>1396</v>
      </c>
      <c r="E66">
        <v>1397.76</v>
      </c>
    </row>
    <row r="67" spans="1:5" x14ac:dyDescent="0.15">
      <c r="A67">
        <v>1402.72</v>
      </c>
      <c r="B67">
        <v>1404.64</v>
      </c>
      <c r="C67">
        <v>1407.6</v>
      </c>
      <c r="D67">
        <v>1410.56</v>
      </c>
      <c r="E67">
        <v>1412.32</v>
      </c>
    </row>
    <row r="68" spans="1:5" x14ac:dyDescent="0.15">
      <c r="A68">
        <v>1417.28</v>
      </c>
      <c r="B68">
        <v>1419.2</v>
      </c>
      <c r="C68">
        <v>1422.16</v>
      </c>
      <c r="D68">
        <v>1425.12</v>
      </c>
      <c r="E68">
        <v>1426.88</v>
      </c>
    </row>
    <row r="69" spans="1:5" x14ac:dyDescent="0.15">
      <c r="A69">
        <v>1431.84</v>
      </c>
      <c r="B69">
        <v>1433.76</v>
      </c>
      <c r="C69">
        <v>1436.72</v>
      </c>
      <c r="D69">
        <v>1439.68</v>
      </c>
      <c r="E69">
        <v>1441.44</v>
      </c>
    </row>
    <row r="70" spans="1:5" x14ac:dyDescent="0.15">
      <c r="A70">
        <v>1446.4</v>
      </c>
      <c r="B70">
        <v>1448.32</v>
      </c>
      <c r="C70">
        <v>1451.28</v>
      </c>
      <c r="D70">
        <v>1454.24</v>
      </c>
      <c r="E70">
        <v>1456</v>
      </c>
    </row>
  </sheetData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7"/>
  <dimension ref="A1:BR100"/>
  <sheetViews>
    <sheetView zoomScale="75" workbookViewId="0"/>
  </sheetViews>
  <sheetFormatPr baseColWidth="10" defaultColWidth="8.83203125" defaultRowHeight="13" x14ac:dyDescent="0.15"/>
  <cols>
    <col min="1" max="5" width="8.83203125" customWidth="1"/>
    <col min="6" max="10" width="9.1640625" style="36" customWidth="1"/>
    <col min="11" max="15" width="8.83203125" customWidth="1"/>
    <col min="16" max="20" width="9.1640625" style="36" customWidth="1"/>
    <col min="21" max="25" width="8.83203125" customWidth="1"/>
    <col min="26" max="30" width="9.1640625" style="36" customWidth="1"/>
    <col min="31" max="35" width="8.83203125" customWidth="1"/>
    <col min="36" max="40" width="9.1640625" style="36" customWidth="1"/>
    <col min="41" max="45" width="8.83203125" customWidth="1"/>
    <col min="46" max="50" width="9.1640625" style="36" customWidth="1"/>
    <col min="56" max="60" width="8.83203125" style="36"/>
    <col min="66" max="70" width="8.83203125" style="36"/>
  </cols>
  <sheetData>
    <row r="1" spans="1:70" x14ac:dyDescent="0.15">
      <c r="A1">
        <v>5.125933E-10</v>
      </c>
      <c r="B1">
        <v>5.1214329999999997E-10</v>
      </c>
      <c r="C1">
        <v>5.1244329999999996E-10</v>
      </c>
      <c r="D1">
        <v>5.1229330000000001E-10</v>
      </c>
      <c r="E1">
        <v>5.1212669999999995E-10</v>
      </c>
      <c r="F1" s="36">
        <v>5.1041E-10</v>
      </c>
      <c r="G1" s="36">
        <v>5.098933E-10</v>
      </c>
      <c r="H1" s="36">
        <v>5.1035170000000003E-10</v>
      </c>
      <c r="I1" s="36">
        <v>5.1003499999999999E-10</v>
      </c>
      <c r="J1" s="36">
        <v>5.1005999999999999E-10</v>
      </c>
      <c r="K1">
        <v>5.1054329999999999E-10</v>
      </c>
      <c r="L1">
        <v>5.1013500000000002E-10</v>
      </c>
      <c r="M1">
        <v>5.1023500000000005E-10</v>
      </c>
      <c r="N1">
        <v>5.1019329999999999E-10</v>
      </c>
      <c r="O1">
        <v>5.0999330000000003E-10</v>
      </c>
      <c r="P1" s="36">
        <v>5.0969330000000004E-10</v>
      </c>
      <c r="Q1" s="36">
        <v>5.0924330000000001E-10</v>
      </c>
      <c r="R1" s="36">
        <v>5.0913500000000002E-10</v>
      </c>
      <c r="S1" s="36">
        <v>5.0898499999999997E-10</v>
      </c>
      <c r="T1" s="36">
        <v>5.0911829999999997E-10</v>
      </c>
      <c r="U1">
        <v>5.0970170000000003E-10</v>
      </c>
      <c r="V1">
        <v>5.0924330000000001E-10</v>
      </c>
      <c r="W1">
        <v>5.0961830000000002E-10</v>
      </c>
      <c r="X1">
        <v>5.0942669999999995E-10</v>
      </c>
      <c r="Y1">
        <v>5.0928499999999996E-10</v>
      </c>
      <c r="Z1" s="36">
        <v>5.0998499999999997E-10</v>
      </c>
      <c r="AA1" s="36">
        <v>5.0972670000000004E-10</v>
      </c>
      <c r="AB1" s="36">
        <v>5.0987669999999998E-10</v>
      </c>
      <c r="AC1" s="36">
        <v>5.098933E-10</v>
      </c>
      <c r="AD1" s="36">
        <v>5.0980169999999996E-10</v>
      </c>
      <c r="AE1">
        <v>5.1024330000000001E-10</v>
      </c>
      <c r="AF1">
        <v>5.0995999999999996E-10</v>
      </c>
      <c r="AG1">
        <v>5.0983500000000003E-10</v>
      </c>
      <c r="AH1">
        <v>5.0993499999999996E-10</v>
      </c>
      <c r="AI1">
        <v>5.1009329999999996E-10</v>
      </c>
      <c r="AJ1" s="36">
        <v>5.1096830000000002E-10</v>
      </c>
      <c r="AK1" s="36">
        <v>5.1041829999999996E-10</v>
      </c>
      <c r="AL1" s="36">
        <v>5.1074329999999995E-10</v>
      </c>
      <c r="AM1" s="36">
        <v>5.1091000000000005E-10</v>
      </c>
      <c r="AN1" s="36">
        <v>5.1044329999999996E-10</v>
      </c>
      <c r="AO1">
        <v>5.1164330000000002E-10</v>
      </c>
      <c r="AP1">
        <v>5.1131830000000003E-10</v>
      </c>
      <c r="AQ1">
        <v>5.1130170000000001E-10</v>
      </c>
      <c r="AR1">
        <v>5.1151000000000003E-10</v>
      </c>
      <c r="AS1">
        <v>5.1157669999999999E-10</v>
      </c>
      <c r="AT1" s="36">
        <v>5.1062670000000001E-10</v>
      </c>
      <c r="AU1" s="36">
        <v>5.102767E-10</v>
      </c>
      <c r="AV1" s="36">
        <v>5.1043500000000001E-10</v>
      </c>
      <c r="AW1" s="36">
        <v>5.1028499999999996E-10</v>
      </c>
      <c r="AX1" s="36">
        <v>5.1016000000000003E-10</v>
      </c>
      <c r="AY1">
        <v>4.2580000000000002E-10</v>
      </c>
      <c r="AZ1">
        <v>5.1077669999999995E-10</v>
      </c>
      <c r="BA1">
        <v>5.1058499999999995E-10</v>
      </c>
      <c r="BB1">
        <v>4.2568329999999999E-10</v>
      </c>
      <c r="BC1">
        <v>4.2552499999999999E-10</v>
      </c>
      <c r="BD1" s="36">
        <v>5.119183E-10</v>
      </c>
      <c r="BE1" s="36">
        <v>5.1137670000000003E-10</v>
      </c>
      <c r="BF1" s="36">
        <v>5.1161830000000001E-10</v>
      </c>
      <c r="BG1" s="36">
        <v>5.1168499999999998E-10</v>
      </c>
      <c r="BH1" s="36">
        <v>5.1179329999999996E-10</v>
      </c>
      <c r="BI1">
        <v>5.148833E-10</v>
      </c>
      <c r="BJ1">
        <v>5.1469999999999999E-10</v>
      </c>
      <c r="BK1">
        <v>5.1464170000000002E-10</v>
      </c>
      <c r="BL1">
        <v>5.1436670000000004E-10</v>
      </c>
      <c r="BM1">
        <v>5.1464170000000002E-10</v>
      </c>
      <c r="BN1" s="36">
        <v>5.1458330000000001E-10</v>
      </c>
      <c r="BO1" s="36">
        <v>5.1421669999999999E-10</v>
      </c>
      <c r="BP1" s="36">
        <v>5.1410829999999997E-10</v>
      </c>
      <c r="BQ1" s="36">
        <v>5.1392499999999996E-10</v>
      </c>
      <c r="BR1" s="36">
        <v>5.142083E-10</v>
      </c>
    </row>
    <row r="2" spans="1:70" x14ac:dyDescent="0.15">
      <c r="A2">
        <v>5.1276750000000001E-10</v>
      </c>
      <c r="B2">
        <v>5.123017E-10</v>
      </c>
      <c r="C2">
        <v>5.1221829999999999E-10</v>
      </c>
      <c r="D2">
        <v>5.1221000000000003E-10</v>
      </c>
      <c r="E2">
        <v>5.1236830000000004E-10</v>
      </c>
      <c r="F2" s="36">
        <v>5.1065170000000001E-10</v>
      </c>
      <c r="G2" s="36">
        <v>5.1040170000000004E-10</v>
      </c>
      <c r="H2" s="36">
        <v>5.1053500000000004E-10</v>
      </c>
      <c r="I2" s="36">
        <v>5.1054329999999999E-10</v>
      </c>
      <c r="J2" s="36">
        <v>5.1024330000000001E-10</v>
      </c>
      <c r="K2">
        <v>5.1035170000000003E-10</v>
      </c>
      <c r="L2">
        <v>5.1033499999999998E-10</v>
      </c>
      <c r="M2">
        <v>5.0980169999999996E-10</v>
      </c>
      <c r="N2">
        <v>5.1002670000000003E-10</v>
      </c>
      <c r="O2">
        <v>5.0956000000000005E-10</v>
      </c>
      <c r="P2" s="36">
        <v>5.0937670000000004E-10</v>
      </c>
      <c r="Q2" s="36">
        <v>5.0912669999999996E-10</v>
      </c>
      <c r="R2" s="36">
        <v>5.0936830000000005E-10</v>
      </c>
      <c r="S2" s="36">
        <v>5.0877669999999996E-10</v>
      </c>
      <c r="T2" s="36">
        <v>5.0904330000000005E-10</v>
      </c>
      <c r="U2">
        <v>5.0959330000000001E-10</v>
      </c>
      <c r="V2">
        <v>5.0910169999999995E-10</v>
      </c>
      <c r="W2">
        <v>5.0915169999999997E-10</v>
      </c>
      <c r="X2">
        <v>5.088933E-10</v>
      </c>
      <c r="Y2">
        <v>5.0922669999999999E-10</v>
      </c>
      <c r="Z2" s="36">
        <v>5.1031830000000003E-10</v>
      </c>
      <c r="AA2" s="36">
        <v>5.0991830000000001E-10</v>
      </c>
      <c r="AB2" s="36">
        <v>5.0990169999999999E-10</v>
      </c>
      <c r="AC2" s="36">
        <v>5.0983500000000003E-10</v>
      </c>
      <c r="AD2" s="36">
        <v>5.1005999999999999E-10</v>
      </c>
      <c r="AE2">
        <v>5.1040170000000004E-10</v>
      </c>
      <c r="AF2">
        <v>5.1035170000000003E-10</v>
      </c>
      <c r="AG2">
        <v>5.1015169999999996E-10</v>
      </c>
      <c r="AH2">
        <v>5.1030170000000001E-10</v>
      </c>
      <c r="AI2">
        <v>5.1017669999999997E-10</v>
      </c>
      <c r="AJ2" s="36">
        <v>5.1140999999999999E-10</v>
      </c>
      <c r="AK2" s="36">
        <v>5.1106829999999995E-10</v>
      </c>
      <c r="AL2" s="36">
        <v>5.1081000000000002E-10</v>
      </c>
      <c r="AM2" s="36">
        <v>5.1086829999999999E-10</v>
      </c>
      <c r="AN2" s="36">
        <v>5.1086829999999999E-10</v>
      </c>
      <c r="AO2">
        <v>5.1183500000000002E-10</v>
      </c>
      <c r="AP2">
        <v>5.1145169999999995E-10</v>
      </c>
      <c r="AQ2">
        <v>5.1139330000000005E-10</v>
      </c>
      <c r="AR2">
        <v>5.1135170000000002E-10</v>
      </c>
      <c r="AS2">
        <v>5.1121000000000004E-10</v>
      </c>
      <c r="AT2" s="36">
        <v>5.1082669999999996E-10</v>
      </c>
      <c r="AU2" s="36">
        <v>5.1041E-10</v>
      </c>
      <c r="AV2" s="36">
        <v>5.1057669999999999E-10</v>
      </c>
      <c r="AW2" s="36">
        <v>5.1044329999999996E-10</v>
      </c>
      <c r="AX2" s="36">
        <v>5.1032670000000002E-10</v>
      </c>
      <c r="AY2">
        <v>5.1125999999999995E-10</v>
      </c>
      <c r="AZ2">
        <v>5.1072670000000004E-10</v>
      </c>
      <c r="BA2">
        <v>5.1081000000000002E-10</v>
      </c>
      <c r="BB2">
        <v>5.109267E-10</v>
      </c>
      <c r="BC2">
        <v>5.1062670000000001E-10</v>
      </c>
      <c r="BD2" s="36">
        <v>5.1222669999999998E-10</v>
      </c>
      <c r="BE2" s="36">
        <v>5.1181829999999997E-10</v>
      </c>
      <c r="BF2" s="36">
        <v>5.1140170000000004E-10</v>
      </c>
      <c r="BG2" s="36">
        <v>5.1166830000000003E-10</v>
      </c>
      <c r="BH2" s="36">
        <v>5.1164330000000002E-10</v>
      </c>
      <c r="BI2">
        <v>5.1506670000000004E-10</v>
      </c>
      <c r="BJ2">
        <v>5.1455000000000005E-10</v>
      </c>
      <c r="BK2">
        <v>5.1441669999999995E-10</v>
      </c>
      <c r="BL2">
        <v>5.1423330000000001E-10</v>
      </c>
      <c r="BM2">
        <v>5.1440829999999996E-10</v>
      </c>
      <c r="BN2" s="36">
        <v>5.14725E-10</v>
      </c>
      <c r="BO2" s="36">
        <v>5.1447500000000003E-10</v>
      </c>
      <c r="BP2" s="36">
        <v>5.145333E-10</v>
      </c>
      <c r="BQ2" s="36">
        <v>5.1439170000000004E-10</v>
      </c>
      <c r="BR2" s="36">
        <v>5.1434999999999999E-10</v>
      </c>
    </row>
    <row r="3" spans="1:70" x14ac:dyDescent="0.15">
      <c r="A3">
        <v>5.1254329999999999E-10</v>
      </c>
      <c r="B3">
        <v>5.1229330000000001E-10</v>
      </c>
      <c r="C3">
        <v>5.1234330000000003E-10</v>
      </c>
      <c r="D3">
        <v>5.1238499999999998E-10</v>
      </c>
      <c r="E3">
        <v>5.1221829999999999E-10</v>
      </c>
      <c r="F3" s="36">
        <v>5.1074329999999995E-10</v>
      </c>
      <c r="G3" s="36">
        <v>5.1046000000000001E-10</v>
      </c>
      <c r="H3" s="36">
        <v>5.1052669999999998E-10</v>
      </c>
      <c r="I3" s="36">
        <v>5.1045169999999995E-10</v>
      </c>
      <c r="J3" s="36">
        <v>5.1030170000000001E-10</v>
      </c>
      <c r="K3">
        <v>5.0999330000000003E-10</v>
      </c>
      <c r="L3">
        <v>5.0968499999999998E-10</v>
      </c>
      <c r="M3">
        <v>5.0981000000000002E-10</v>
      </c>
      <c r="N3">
        <v>5.1017669999999997E-10</v>
      </c>
      <c r="O3">
        <v>5.0965170000000002E-10</v>
      </c>
      <c r="P3" s="36">
        <v>5.0942669999999995E-10</v>
      </c>
      <c r="Q3" s="36">
        <v>5.0929330000000002E-10</v>
      </c>
      <c r="R3" s="36">
        <v>5.0903499999999999E-10</v>
      </c>
      <c r="S3" s="36">
        <v>5.0890999999999995E-10</v>
      </c>
      <c r="T3" s="36">
        <v>5.0864330000000003E-10</v>
      </c>
      <c r="U3">
        <v>5.0944329999999997E-10</v>
      </c>
      <c r="V3">
        <v>5.0899330000000004E-10</v>
      </c>
      <c r="W3">
        <v>5.0928499999999996E-10</v>
      </c>
      <c r="X3">
        <v>5.0876829999999997E-10</v>
      </c>
      <c r="Y3">
        <v>5.0906829999999996E-10</v>
      </c>
      <c r="Z3" s="36">
        <v>5.1059330000000001E-10</v>
      </c>
      <c r="AA3" s="36">
        <v>5.1019329999999999E-10</v>
      </c>
      <c r="AB3" s="36">
        <v>5.0997670000000001E-10</v>
      </c>
      <c r="AC3" s="36">
        <v>5.0997670000000001E-10</v>
      </c>
      <c r="AD3" s="36">
        <v>5.099267E-10</v>
      </c>
      <c r="AE3">
        <v>5.1062670000000001E-10</v>
      </c>
      <c r="AF3">
        <v>5.1004330000000005E-10</v>
      </c>
      <c r="AG3">
        <v>5.1030999999999997E-10</v>
      </c>
      <c r="AH3">
        <v>5.1018500000000003E-10</v>
      </c>
      <c r="AI3">
        <v>5.1011000000000001E-10</v>
      </c>
      <c r="AJ3" s="36">
        <v>5.1118500000000003E-10</v>
      </c>
      <c r="AK3" s="36">
        <v>5.1099330000000003E-10</v>
      </c>
      <c r="AL3" s="36">
        <v>5.1069330000000004E-10</v>
      </c>
      <c r="AM3" s="36">
        <v>5.1072670000000004E-10</v>
      </c>
      <c r="AN3" s="36">
        <v>5.1066830000000003E-10</v>
      </c>
      <c r="AO3">
        <v>5.1194330000000001E-10</v>
      </c>
      <c r="AP3">
        <v>5.1133499999999997E-10</v>
      </c>
      <c r="AQ3">
        <v>5.1142670000000005E-10</v>
      </c>
      <c r="AR3">
        <v>5.1118500000000003E-10</v>
      </c>
      <c r="AS3">
        <v>5.1102670000000003E-10</v>
      </c>
      <c r="AT3" s="36">
        <v>5.1081000000000002E-10</v>
      </c>
      <c r="AU3" s="36">
        <v>5.1026830000000001E-10</v>
      </c>
      <c r="AV3" s="36">
        <v>5.1032670000000002E-10</v>
      </c>
      <c r="AW3" s="36">
        <v>5.1016829999999998E-10</v>
      </c>
      <c r="AX3" s="36">
        <v>5.10085E-10</v>
      </c>
      <c r="AY3">
        <v>5.1112669999999995E-10</v>
      </c>
      <c r="AZ3">
        <v>5.1073499999999999E-10</v>
      </c>
      <c r="BA3">
        <v>5.1068499999999998E-10</v>
      </c>
      <c r="BB3">
        <v>5.1064330000000002E-10</v>
      </c>
      <c r="BC3">
        <v>5.106017E-10</v>
      </c>
      <c r="BD3" s="36">
        <v>5.1204330000000004E-10</v>
      </c>
      <c r="BE3" s="36">
        <v>5.1181829999999997E-10</v>
      </c>
      <c r="BF3" s="36">
        <v>5.1169330000000004E-10</v>
      </c>
      <c r="BG3" s="36">
        <v>5.116017E-10</v>
      </c>
      <c r="BH3" s="36">
        <v>5.1165999999999997E-10</v>
      </c>
      <c r="BI3">
        <v>5.1516669999999997E-10</v>
      </c>
      <c r="BJ3">
        <v>5.1464170000000002E-10</v>
      </c>
      <c r="BK3">
        <v>5.1445000000000002E-10</v>
      </c>
      <c r="BL3">
        <v>5.1461670000000001E-10</v>
      </c>
      <c r="BM3">
        <v>5.1431670000000002E-10</v>
      </c>
      <c r="BN3" s="36">
        <v>5.1503330000000005E-10</v>
      </c>
      <c r="BO3" s="36">
        <v>5.1474170000000005E-10</v>
      </c>
      <c r="BP3" s="36">
        <v>5.1436670000000004E-10</v>
      </c>
      <c r="BQ3" s="36">
        <v>5.1458330000000001E-10</v>
      </c>
      <c r="BR3" s="36">
        <v>5.1439170000000004E-10</v>
      </c>
    </row>
    <row r="4" spans="1:70" x14ac:dyDescent="0.15">
      <c r="A4">
        <v>5.1281000000000001E-10</v>
      </c>
      <c r="B4">
        <v>5.1207670000000004E-10</v>
      </c>
      <c r="C4">
        <v>5.1256000000000004E-10</v>
      </c>
      <c r="D4">
        <v>5.1233499999999997E-10</v>
      </c>
      <c r="E4">
        <v>5.1221829999999999E-10</v>
      </c>
      <c r="F4" s="36">
        <v>5.1070170000000003E-10</v>
      </c>
      <c r="G4" s="36">
        <v>5.1032670000000002E-10</v>
      </c>
      <c r="H4" s="36">
        <v>5.1074329999999995E-10</v>
      </c>
      <c r="I4" s="36">
        <v>5.1049329999999998E-10</v>
      </c>
      <c r="J4" s="36">
        <v>5.1046000000000001E-10</v>
      </c>
      <c r="K4">
        <v>5.1032670000000002E-10</v>
      </c>
      <c r="L4">
        <v>5.0986829999999999E-10</v>
      </c>
      <c r="M4">
        <v>5.0956830000000001E-10</v>
      </c>
      <c r="N4">
        <v>5.0969330000000004E-10</v>
      </c>
      <c r="O4">
        <v>5.0979329999999997E-10</v>
      </c>
      <c r="P4" s="36">
        <v>5.0950169999999997E-10</v>
      </c>
      <c r="Q4" s="36">
        <v>5.0901830000000004E-10</v>
      </c>
      <c r="R4" s="36">
        <v>5.0884329999999999E-10</v>
      </c>
      <c r="S4" s="36">
        <v>5.0921000000000004E-10</v>
      </c>
      <c r="T4" s="36">
        <v>5.0913500000000002E-10</v>
      </c>
      <c r="U4">
        <v>5.0970999999999999E-10</v>
      </c>
      <c r="V4">
        <v>5.0912669999999996E-10</v>
      </c>
      <c r="W4">
        <v>5.0893499999999996E-10</v>
      </c>
      <c r="X4">
        <v>5.0901830000000004E-10</v>
      </c>
      <c r="Y4">
        <v>5.0885169999999998E-10</v>
      </c>
      <c r="Z4" s="36">
        <v>5.1045169999999995E-10</v>
      </c>
      <c r="AA4" s="36">
        <v>5.1010169999999995E-10</v>
      </c>
      <c r="AB4" s="36">
        <v>5.1005170000000004E-10</v>
      </c>
      <c r="AC4" s="36">
        <v>5.1009329999999996E-10</v>
      </c>
      <c r="AD4" s="36">
        <v>5.1002670000000003E-10</v>
      </c>
      <c r="AE4">
        <v>5.1034330000000004E-10</v>
      </c>
      <c r="AF4">
        <v>5.102767E-10</v>
      </c>
      <c r="AG4">
        <v>5.10085E-10</v>
      </c>
      <c r="AH4">
        <v>5.1025999999999995E-10</v>
      </c>
      <c r="AI4">
        <v>5.0987669999999998E-10</v>
      </c>
      <c r="AJ4" s="36">
        <v>5.1128499999999996E-10</v>
      </c>
      <c r="AK4" s="36">
        <v>5.1109329999999996E-10</v>
      </c>
      <c r="AL4" s="36">
        <v>5.1095999999999996E-10</v>
      </c>
      <c r="AM4" s="36">
        <v>5.1098499999999997E-10</v>
      </c>
      <c r="AN4" s="36">
        <v>5.1099330000000003E-10</v>
      </c>
      <c r="AO4">
        <v>5.1168499999999998E-10</v>
      </c>
      <c r="AP4">
        <v>5.1126830000000001E-10</v>
      </c>
      <c r="AQ4">
        <v>5.1150169999999996E-10</v>
      </c>
      <c r="AR4">
        <v>5.1117669999999997E-10</v>
      </c>
      <c r="AS4">
        <v>5.1105999999999999E-10</v>
      </c>
      <c r="AT4" s="36">
        <v>5.1072670000000004E-10</v>
      </c>
      <c r="AU4" s="36">
        <v>5.1005999999999999E-10</v>
      </c>
      <c r="AV4" s="36">
        <v>5.098933E-10</v>
      </c>
      <c r="AW4" s="36">
        <v>5.1041829999999996E-10</v>
      </c>
      <c r="AX4" s="36">
        <v>5.1012669999999996E-10</v>
      </c>
      <c r="AY4">
        <v>5.1130999999999996E-10</v>
      </c>
      <c r="AZ4">
        <v>5.1068499999999998E-10</v>
      </c>
      <c r="BA4">
        <v>5.1056000000000004E-10</v>
      </c>
      <c r="BB4">
        <v>5.1073499999999999E-10</v>
      </c>
      <c r="BC4">
        <v>5.1072670000000004E-10</v>
      </c>
      <c r="BD4" s="36">
        <v>5.1229330000000001E-10</v>
      </c>
      <c r="BE4" s="36">
        <v>5.1194330000000001E-10</v>
      </c>
      <c r="BF4" s="36">
        <v>5.1178500000000001E-10</v>
      </c>
      <c r="BG4" s="36">
        <v>5.1181829999999997E-10</v>
      </c>
      <c r="BH4" s="36">
        <v>5.1167670000000002E-10</v>
      </c>
      <c r="BI4">
        <v>5.1514169999999996E-10</v>
      </c>
      <c r="BJ4">
        <v>5.1441669999999995E-10</v>
      </c>
      <c r="BK4">
        <v>5.1437499999999999E-10</v>
      </c>
      <c r="BL4">
        <v>5.1434999999999999E-10</v>
      </c>
      <c r="BM4">
        <v>5.1446669999999996E-10</v>
      </c>
      <c r="BN4" s="36">
        <v>5.1496670000000001E-10</v>
      </c>
      <c r="BO4" s="36">
        <v>5.1469170000000003E-10</v>
      </c>
      <c r="BP4" s="36">
        <v>5.1452500000000004E-10</v>
      </c>
      <c r="BQ4" s="36">
        <v>5.1469170000000003E-10</v>
      </c>
      <c r="BR4" s="36">
        <v>5.1452500000000004E-10</v>
      </c>
    </row>
    <row r="5" spans="1:70" x14ac:dyDescent="0.15">
      <c r="A5">
        <v>5.1281829999999997E-10</v>
      </c>
      <c r="B5">
        <v>5.1223500000000004E-10</v>
      </c>
      <c r="C5">
        <v>5.1231830000000002E-10</v>
      </c>
      <c r="D5">
        <v>5.1275170000000004E-10</v>
      </c>
      <c r="E5">
        <v>5.1284329999999998E-10</v>
      </c>
      <c r="F5" s="36">
        <v>5.1067670000000002E-10</v>
      </c>
      <c r="G5" s="36">
        <v>5.1047669999999996E-10</v>
      </c>
      <c r="H5" s="36">
        <v>5.1045169999999995E-10</v>
      </c>
      <c r="I5" s="36">
        <v>5.1036830000000004E-10</v>
      </c>
      <c r="J5" s="36">
        <v>5.1041E-10</v>
      </c>
      <c r="K5">
        <v>5.1000170000000002E-10</v>
      </c>
      <c r="L5">
        <v>5.0958499999999995E-10</v>
      </c>
      <c r="M5">
        <v>5.0966830000000004E-10</v>
      </c>
      <c r="N5">
        <v>5.0958499999999995E-10</v>
      </c>
      <c r="O5">
        <v>5.095433E-10</v>
      </c>
      <c r="P5" s="36">
        <v>5.0947669999999996E-10</v>
      </c>
      <c r="Q5" s="36">
        <v>5.0880169999999996E-10</v>
      </c>
      <c r="R5" s="36">
        <v>5.0898499999999997E-10</v>
      </c>
      <c r="S5" s="36">
        <v>5.0907670000000005E-10</v>
      </c>
      <c r="T5" s="36">
        <v>5.0917669999999998E-10</v>
      </c>
      <c r="U5">
        <v>5.0936830000000005E-10</v>
      </c>
      <c r="V5">
        <v>5.0918500000000004E-10</v>
      </c>
      <c r="W5">
        <v>5.0874329999999996E-10</v>
      </c>
      <c r="X5">
        <v>5.0933499999999998E-10</v>
      </c>
      <c r="Y5">
        <v>5.0864330000000003E-10</v>
      </c>
      <c r="Z5" s="36">
        <v>5.1051000000000003E-10</v>
      </c>
      <c r="AA5" s="36">
        <v>5.1017669999999997E-10</v>
      </c>
      <c r="AB5" s="36">
        <v>5.0986000000000004E-10</v>
      </c>
      <c r="AC5" s="36">
        <v>5.102183E-10</v>
      </c>
      <c r="AD5" s="36">
        <v>5.1004330000000005E-10</v>
      </c>
      <c r="AE5">
        <v>5.1082669999999996E-10</v>
      </c>
      <c r="AF5">
        <v>5.1005999999999999E-10</v>
      </c>
      <c r="AG5">
        <v>5.102183E-10</v>
      </c>
      <c r="AH5">
        <v>5.1140999999999999E-10</v>
      </c>
      <c r="AI5">
        <v>5.1146829999999997E-10</v>
      </c>
      <c r="AJ5" s="36">
        <v>5.1150169999999996E-10</v>
      </c>
      <c r="AK5" s="36">
        <v>5.1091000000000005E-10</v>
      </c>
      <c r="AL5" s="36">
        <v>5.105683E-10</v>
      </c>
      <c r="AM5" s="36">
        <v>5.1084329999999998E-10</v>
      </c>
      <c r="AN5" s="36">
        <v>5.1068499999999998E-10</v>
      </c>
      <c r="AO5">
        <v>5.1193499999999995E-10</v>
      </c>
      <c r="AP5">
        <v>5.1113500000000001E-10</v>
      </c>
      <c r="AQ5">
        <v>5.1133499999999997E-10</v>
      </c>
      <c r="AR5">
        <v>5.1147669999999996E-10</v>
      </c>
      <c r="AS5">
        <v>5.1097670000000001E-10</v>
      </c>
      <c r="AT5" s="36">
        <v>5.1061830000000002E-10</v>
      </c>
      <c r="AU5" s="36">
        <v>5.1028499999999996E-10</v>
      </c>
      <c r="AV5" s="36">
        <v>5.1016829999999998E-10</v>
      </c>
      <c r="AW5" s="36">
        <v>5.102767E-10</v>
      </c>
      <c r="AX5" s="36">
        <v>5.1040170000000004E-10</v>
      </c>
      <c r="AY5">
        <v>5.1099330000000003E-10</v>
      </c>
      <c r="AZ5">
        <v>5.1069330000000004E-10</v>
      </c>
      <c r="BA5">
        <v>5.1073499999999999E-10</v>
      </c>
      <c r="BB5">
        <v>5.1094330000000001E-10</v>
      </c>
      <c r="BC5">
        <v>5.1076E-10</v>
      </c>
      <c r="BD5" s="36">
        <v>5.1230999999999996E-10</v>
      </c>
      <c r="BE5" s="36">
        <v>5.1172670000000003E-10</v>
      </c>
      <c r="BF5" s="36">
        <v>5.1174329999999995E-10</v>
      </c>
      <c r="BG5" s="36">
        <v>5.1170170000000003E-10</v>
      </c>
      <c r="BH5" s="36">
        <v>5.1152669999999997E-10</v>
      </c>
      <c r="BI5">
        <v>5.1499170000000002E-10</v>
      </c>
      <c r="BJ5">
        <v>5.1445829999999997E-10</v>
      </c>
      <c r="BK5">
        <v>5.1449169999999997E-10</v>
      </c>
      <c r="BL5">
        <v>5.145333E-10</v>
      </c>
      <c r="BM5">
        <v>5.1456669999999999E-10</v>
      </c>
      <c r="BN5" s="36">
        <v>5.1529999999999997E-10</v>
      </c>
      <c r="BO5" s="36">
        <v>5.1473329999999996E-10</v>
      </c>
      <c r="BP5" s="36">
        <v>5.1439170000000004E-10</v>
      </c>
      <c r="BQ5" s="36">
        <v>5.1462499999999997E-10</v>
      </c>
      <c r="BR5" s="36">
        <v>5.145917E-10</v>
      </c>
    </row>
    <row r="6" spans="1:70" x14ac:dyDescent="0.15">
      <c r="A6">
        <v>5.1281829999999997E-10</v>
      </c>
      <c r="B6">
        <v>5.1263420000000001E-10</v>
      </c>
      <c r="C6">
        <v>5.1269330000000003E-10</v>
      </c>
      <c r="D6">
        <v>5.1263499999999996E-10</v>
      </c>
      <c r="E6">
        <v>5.1281829999999997E-10</v>
      </c>
      <c r="F6" s="36">
        <v>5.1084329999999998E-10</v>
      </c>
      <c r="G6" s="36">
        <v>5.1067670000000002E-10</v>
      </c>
      <c r="H6" s="36">
        <v>5.1074329999999995E-10</v>
      </c>
      <c r="I6" s="36">
        <v>5.1069330000000004E-10</v>
      </c>
      <c r="J6" s="36">
        <v>5.1036830000000004E-10</v>
      </c>
      <c r="K6">
        <v>5.1021000000000004E-10</v>
      </c>
      <c r="L6">
        <v>5.0974329999999996E-10</v>
      </c>
      <c r="M6">
        <v>5.0976829999999996E-10</v>
      </c>
      <c r="N6">
        <v>5.095433E-10</v>
      </c>
      <c r="O6">
        <v>5.0930999999999997E-10</v>
      </c>
      <c r="P6" s="36">
        <v>5.0941E-10</v>
      </c>
      <c r="Q6" s="36">
        <v>5.0905170000000004E-10</v>
      </c>
      <c r="R6" s="36">
        <v>5.0868499999999999E-10</v>
      </c>
      <c r="S6" s="36">
        <v>5.0886000000000004E-10</v>
      </c>
      <c r="T6" s="36">
        <v>5.0888500000000005E-10</v>
      </c>
      <c r="U6">
        <v>5.0931830000000003E-10</v>
      </c>
      <c r="V6">
        <v>5.0896830000000003E-10</v>
      </c>
      <c r="W6">
        <v>5.0924330000000001E-10</v>
      </c>
      <c r="X6">
        <v>5.0895999999999997E-10</v>
      </c>
      <c r="Y6">
        <v>5.0899330000000004E-10</v>
      </c>
      <c r="Z6" s="36">
        <v>5.1050169999999997E-10</v>
      </c>
      <c r="AA6" s="36">
        <v>5.1012669999999996E-10</v>
      </c>
      <c r="AB6" s="36">
        <v>5.1009329999999996E-10</v>
      </c>
      <c r="AC6" s="36">
        <v>5.0999330000000003E-10</v>
      </c>
      <c r="AD6" s="36">
        <v>5.1015169999999996E-10</v>
      </c>
      <c r="AE6">
        <v>5.1087669999999998E-10</v>
      </c>
      <c r="AF6">
        <v>5.1077669999999995E-10</v>
      </c>
      <c r="AG6">
        <v>5.1051000000000003E-10</v>
      </c>
      <c r="AH6">
        <v>5.102767E-10</v>
      </c>
      <c r="AI6">
        <v>5.1055169999999998E-10</v>
      </c>
      <c r="AJ6" s="36">
        <v>5.1154329999999999E-10</v>
      </c>
      <c r="AK6" s="36">
        <v>5.1095999999999996E-10</v>
      </c>
      <c r="AL6" s="36">
        <v>5.1091830000000001E-10</v>
      </c>
      <c r="AM6" s="36">
        <v>5.1100170000000002E-10</v>
      </c>
      <c r="AN6" s="36">
        <v>5.1086000000000003E-10</v>
      </c>
      <c r="AO6">
        <v>5.1181829999999997E-10</v>
      </c>
      <c r="AP6">
        <v>5.1132670000000001E-10</v>
      </c>
      <c r="AQ6">
        <v>5.1120169999999998E-10</v>
      </c>
      <c r="AR6">
        <v>5.1111000000000001E-10</v>
      </c>
      <c r="AS6">
        <v>5.075433E-10</v>
      </c>
      <c r="AT6" s="36">
        <v>5.1037670000000003E-10</v>
      </c>
      <c r="AU6" s="36">
        <v>5.1042670000000005E-10</v>
      </c>
      <c r="AV6" s="36">
        <v>5.1057669999999999E-10</v>
      </c>
      <c r="AW6" s="36">
        <v>5.1007670000000004E-10</v>
      </c>
      <c r="AX6" s="36">
        <v>5.1002670000000003E-10</v>
      </c>
      <c r="AY6">
        <v>5.112767E-10</v>
      </c>
      <c r="AZ6">
        <v>5.1094330000000001E-10</v>
      </c>
      <c r="BA6">
        <v>5.1114329999999997E-10</v>
      </c>
      <c r="BB6">
        <v>5.106017E-10</v>
      </c>
      <c r="BC6">
        <v>5.1066830000000003E-10</v>
      </c>
      <c r="BD6" s="36">
        <v>5.1215169999999996E-10</v>
      </c>
      <c r="BE6" s="36">
        <v>5.1188500000000004E-10</v>
      </c>
      <c r="BF6" s="36">
        <v>5.1191000000000004E-10</v>
      </c>
      <c r="BG6" s="36">
        <v>5.119517E-10</v>
      </c>
      <c r="BH6" s="36">
        <v>5.1145169999999995E-10</v>
      </c>
      <c r="BI6">
        <v>5.1473329999999996E-10</v>
      </c>
      <c r="BJ6">
        <v>5.1464170000000002E-10</v>
      </c>
      <c r="BK6">
        <v>5.1438329999999995E-10</v>
      </c>
      <c r="BL6">
        <v>5.1443329999999997E-10</v>
      </c>
      <c r="BM6">
        <v>5.1444169999999996E-10</v>
      </c>
      <c r="BN6" s="36">
        <v>5.1525830000000001E-10</v>
      </c>
      <c r="BO6" s="36">
        <v>5.1444169999999996E-10</v>
      </c>
      <c r="BP6" s="36">
        <v>5.1460830000000002E-10</v>
      </c>
      <c r="BQ6" s="36">
        <v>5.1459999999999996E-10</v>
      </c>
      <c r="BR6" s="36">
        <v>5.1470830000000005E-10</v>
      </c>
    </row>
    <row r="7" spans="1:70" x14ac:dyDescent="0.15">
      <c r="A7">
        <v>5.1256829999999999E-10</v>
      </c>
      <c r="B7">
        <v>5.1250169999999996E-10</v>
      </c>
      <c r="C7">
        <v>5.1240999999999999E-10</v>
      </c>
      <c r="D7">
        <v>5.1229330000000001E-10</v>
      </c>
      <c r="E7">
        <v>5.1251000000000002E-10</v>
      </c>
      <c r="F7" s="36">
        <v>5.1079329999999997E-10</v>
      </c>
      <c r="G7" s="36">
        <v>5.1086829999999999E-10</v>
      </c>
      <c r="H7" s="36">
        <v>5.1046000000000001E-10</v>
      </c>
      <c r="I7" s="36">
        <v>5.1082669999999996E-10</v>
      </c>
      <c r="J7" s="36">
        <v>5.105683E-10</v>
      </c>
      <c r="K7">
        <v>5.1006829999999995E-10</v>
      </c>
      <c r="L7">
        <v>5.0941829999999996E-10</v>
      </c>
      <c r="M7">
        <v>5.0951829999999999E-10</v>
      </c>
      <c r="N7">
        <v>5.0949329999999998E-10</v>
      </c>
      <c r="O7">
        <v>5.0965999999999998E-10</v>
      </c>
      <c r="P7" s="36">
        <v>5.0931830000000003E-10</v>
      </c>
      <c r="Q7" s="36">
        <v>5.0893499999999996E-10</v>
      </c>
      <c r="R7" s="36">
        <v>5.0900999999999998E-10</v>
      </c>
      <c r="S7" s="36">
        <v>5.0916829999999999E-10</v>
      </c>
      <c r="T7" s="36">
        <v>5.0903499999999999E-10</v>
      </c>
      <c r="U7">
        <v>5.0955169999999999E-10</v>
      </c>
      <c r="V7">
        <v>5.0928499999999996E-10</v>
      </c>
      <c r="W7">
        <v>5.0896830000000003E-10</v>
      </c>
      <c r="X7">
        <v>5.0890169999999999E-10</v>
      </c>
      <c r="Y7">
        <v>5.0895999999999997E-10</v>
      </c>
      <c r="Z7" s="36">
        <v>5.1045169999999995E-10</v>
      </c>
      <c r="AA7" s="36">
        <v>5.1018500000000003E-10</v>
      </c>
      <c r="AB7" s="36">
        <v>5.1011829999999997E-10</v>
      </c>
      <c r="AC7" s="36">
        <v>5.0981829999999998E-10</v>
      </c>
      <c r="AD7" s="36">
        <v>5.1025999999999995E-10</v>
      </c>
      <c r="AE7">
        <v>5.1100170000000002E-10</v>
      </c>
      <c r="AF7">
        <v>5.1033499999999998E-10</v>
      </c>
      <c r="AG7">
        <v>5.1038499999999999E-10</v>
      </c>
      <c r="AH7">
        <v>5.1013500000000002E-10</v>
      </c>
      <c r="AI7">
        <v>5.102767E-10</v>
      </c>
      <c r="AJ7" s="36">
        <v>5.1147669999999996E-10</v>
      </c>
      <c r="AK7" s="36">
        <v>5.1097670000000001E-10</v>
      </c>
      <c r="AL7" s="36">
        <v>5.1100999999999998E-10</v>
      </c>
      <c r="AM7" s="36">
        <v>5.1104330000000004E-10</v>
      </c>
      <c r="AN7" s="36">
        <v>5.1083500000000003E-10</v>
      </c>
      <c r="AO7">
        <v>5.0824330000000001E-10</v>
      </c>
      <c r="AP7">
        <v>5.075183E-10</v>
      </c>
      <c r="AQ7">
        <v>5.0746829999999998E-10</v>
      </c>
      <c r="AR7">
        <v>5.0737670000000004E-10</v>
      </c>
      <c r="AS7">
        <v>5.0755999999999995E-10</v>
      </c>
      <c r="AT7" s="36">
        <v>5.1061830000000002E-10</v>
      </c>
      <c r="AU7" s="36">
        <v>5.1017669999999997E-10</v>
      </c>
      <c r="AV7" s="36">
        <v>5.1026830000000001E-10</v>
      </c>
      <c r="AW7" s="36">
        <v>5.1012669999999996E-10</v>
      </c>
      <c r="AX7" s="36">
        <v>5.0995170000000001E-10</v>
      </c>
      <c r="AY7">
        <v>5.1125169999999999E-10</v>
      </c>
      <c r="AZ7">
        <v>5.1073499999999999E-10</v>
      </c>
      <c r="BA7">
        <v>5.1068499999999998E-10</v>
      </c>
      <c r="BB7">
        <v>5.1100170000000002E-10</v>
      </c>
      <c r="BC7">
        <v>5.1080169999999996E-10</v>
      </c>
      <c r="BD7" s="36">
        <v>5.1216829999999998E-10</v>
      </c>
      <c r="BE7" s="36">
        <v>5.1197670000000001E-10</v>
      </c>
      <c r="BF7" s="36">
        <v>5.1193499999999995E-10</v>
      </c>
      <c r="BG7" s="36">
        <v>5.119517E-10</v>
      </c>
      <c r="BH7" s="36">
        <v>5.1200999999999997E-10</v>
      </c>
      <c r="BI7">
        <v>5.1478329999999997E-10</v>
      </c>
      <c r="BJ7">
        <v>5.1445829999999997E-10</v>
      </c>
      <c r="BK7">
        <v>5.1450829999999999E-10</v>
      </c>
      <c r="BL7">
        <v>5.1451669999999998E-10</v>
      </c>
      <c r="BM7">
        <v>5.1433330000000004E-10</v>
      </c>
      <c r="BN7" s="36">
        <v>5.1541670000000005E-10</v>
      </c>
      <c r="BO7" s="36">
        <v>5.1482500000000003E-10</v>
      </c>
      <c r="BP7" s="36">
        <v>5.1464999999999998E-10</v>
      </c>
      <c r="BQ7" s="36">
        <v>5.1475829999999996E-10</v>
      </c>
      <c r="BR7" s="36">
        <v>5.1458330000000001E-10</v>
      </c>
    </row>
    <row r="8" spans="1:70" x14ac:dyDescent="0.15">
      <c r="A8">
        <v>5.1283419999999997E-10</v>
      </c>
      <c r="B8">
        <v>5.122767E-10</v>
      </c>
      <c r="C8">
        <v>5.1260169999999999E-10</v>
      </c>
      <c r="D8">
        <v>5.1235170000000002E-10</v>
      </c>
      <c r="E8">
        <v>5.1222669999999998E-10</v>
      </c>
      <c r="F8" s="36">
        <v>5.1105170000000003E-10</v>
      </c>
      <c r="G8" s="36">
        <v>5.1069330000000004E-10</v>
      </c>
      <c r="H8" s="36">
        <v>5.1026830000000001E-10</v>
      </c>
      <c r="I8" s="36">
        <v>5.1038499999999999E-10</v>
      </c>
      <c r="J8" s="36">
        <v>5.1042670000000005E-10</v>
      </c>
      <c r="K8">
        <v>5.1030999999999997E-10</v>
      </c>
      <c r="L8">
        <v>5.0956000000000005E-10</v>
      </c>
      <c r="M8">
        <v>5.0950169999999997E-10</v>
      </c>
      <c r="N8">
        <v>5.0951000000000003E-10</v>
      </c>
      <c r="O8">
        <v>5.0933499999999998E-10</v>
      </c>
      <c r="P8" s="36">
        <v>5.0951000000000003E-10</v>
      </c>
      <c r="Q8" s="36">
        <v>5.0904330000000005E-10</v>
      </c>
      <c r="R8" s="36">
        <v>5.0891830000000001E-10</v>
      </c>
      <c r="S8" s="36">
        <v>5.0887669999999999E-10</v>
      </c>
      <c r="T8" s="36">
        <v>5.0904330000000005E-10</v>
      </c>
      <c r="U8">
        <v>5.0965170000000002E-10</v>
      </c>
      <c r="V8">
        <v>5.0924330000000001E-10</v>
      </c>
      <c r="W8">
        <v>5.0918500000000004E-10</v>
      </c>
      <c r="X8">
        <v>5.0893499999999996E-10</v>
      </c>
      <c r="Y8">
        <v>5.0863499999999997E-10</v>
      </c>
      <c r="Z8" s="36">
        <v>5.1066830000000003E-10</v>
      </c>
      <c r="AA8" s="36">
        <v>5.0974329999999996E-10</v>
      </c>
      <c r="AB8" s="36">
        <v>5.1009329999999996E-10</v>
      </c>
      <c r="AC8" s="36">
        <v>5.1006829999999995E-10</v>
      </c>
      <c r="AD8" s="36">
        <v>5.0993499999999996E-10</v>
      </c>
      <c r="AE8">
        <v>5.1091000000000005E-10</v>
      </c>
      <c r="AF8">
        <v>5.1067670000000002E-10</v>
      </c>
      <c r="AG8">
        <v>5.1035170000000003E-10</v>
      </c>
      <c r="AH8">
        <v>5.1057669999999999E-10</v>
      </c>
      <c r="AI8">
        <v>5.1050169999999997E-10</v>
      </c>
      <c r="AJ8" s="36">
        <v>5.1125999999999995E-10</v>
      </c>
      <c r="AK8" s="36">
        <v>5.1055169999999998E-10</v>
      </c>
      <c r="AL8" s="36">
        <v>5.1093499999999995E-10</v>
      </c>
      <c r="AM8" s="36">
        <v>5.1102670000000003E-10</v>
      </c>
      <c r="AN8" s="36">
        <v>5.1095999999999996E-10</v>
      </c>
      <c r="AO8">
        <v>5.0808500000000001E-10</v>
      </c>
      <c r="AP8">
        <v>5.0776000000000001E-10</v>
      </c>
      <c r="AQ8">
        <v>5.0743500000000002E-10</v>
      </c>
      <c r="AR8">
        <v>5.0769330000000005E-10</v>
      </c>
      <c r="AS8">
        <v>5.0739329999999996E-10</v>
      </c>
      <c r="AT8" s="36">
        <v>5.1038499999999999E-10</v>
      </c>
      <c r="AU8" s="36">
        <v>5.1002670000000003E-10</v>
      </c>
      <c r="AV8" s="36">
        <v>5.1000999999999998E-10</v>
      </c>
      <c r="AW8" s="36">
        <v>5.1016829999999998E-10</v>
      </c>
      <c r="AX8" s="36">
        <v>5.0995999999999996E-10</v>
      </c>
      <c r="AY8">
        <v>5.1141829999999995E-10</v>
      </c>
      <c r="AZ8">
        <v>5.1121829999999999E-10</v>
      </c>
      <c r="BA8">
        <v>5.1119329999999999E-10</v>
      </c>
      <c r="BB8">
        <v>5.108933E-10</v>
      </c>
      <c r="BC8">
        <v>5.1100999999999998E-10</v>
      </c>
      <c r="BD8" s="36">
        <v>5.1236830000000004E-10</v>
      </c>
      <c r="BE8" s="36">
        <v>5.1205170000000003E-10</v>
      </c>
      <c r="BF8" s="36">
        <v>5.1211E-10</v>
      </c>
      <c r="BG8" s="36">
        <v>5.1182669999999996E-10</v>
      </c>
      <c r="BH8" s="36">
        <v>5.1176829999999996E-10</v>
      </c>
      <c r="BI8">
        <v>5.1525830000000001E-10</v>
      </c>
      <c r="BJ8">
        <v>5.1443329999999997E-10</v>
      </c>
      <c r="BK8">
        <v>5.1429999999999997E-10</v>
      </c>
      <c r="BL8">
        <v>5.1432499999999998E-10</v>
      </c>
      <c r="BM8">
        <v>5.1435830000000005E-10</v>
      </c>
      <c r="BN8" s="36">
        <v>5.1533330000000004E-10</v>
      </c>
      <c r="BO8" s="36">
        <v>5.1498330000000003E-10</v>
      </c>
      <c r="BP8" s="36">
        <v>5.1464999999999998E-10</v>
      </c>
      <c r="BQ8" s="36">
        <v>5.1480000000000002E-10</v>
      </c>
      <c r="BR8" s="36">
        <v>5.1487500000000004E-10</v>
      </c>
    </row>
    <row r="9" spans="1:70" x14ac:dyDescent="0.15">
      <c r="A9">
        <v>5.1271830000000004E-10</v>
      </c>
      <c r="B9">
        <v>5.1229330000000001E-10</v>
      </c>
      <c r="C9">
        <v>5.1257669999999998E-10</v>
      </c>
      <c r="D9">
        <v>5.1247669999999995E-10</v>
      </c>
      <c r="E9">
        <v>5.1242670000000004E-10</v>
      </c>
      <c r="F9" s="36">
        <v>5.1075170000000004E-10</v>
      </c>
      <c r="G9" s="36">
        <v>5.1074329999999995E-10</v>
      </c>
      <c r="H9" s="36">
        <v>5.1068499999999998E-10</v>
      </c>
      <c r="I9" s="36">
        <v>5.1066830000000003E-10</v>
      </c>
      <c r="J9" s="36">
        <v>5.1046829999999997E-10</v>
      </c>
      <c r="K9">
        <v>5.0979329999999997E-10</v>
      </c>
      <c r="L9">
        <v>5.0969330000000004E-10</v>
      </c>
      <c r="M9">
        <v>5.0944329999999997E-10</v>
      </c>
      <c r="N9">
        <v>5.0946000000000002E-10</v>
      </c>
      <c r="O9">
        <v>5.0944329999999997E-10</v>
      </c>
      <c r="P9" s="36">
        <v>5.0951000000000003E-10</v>
      </c>
      <c r="Q9" s="36">
        <v>5.0893499999999996E-10</v>
      </c>
      <c r="R9" s="36">
        <v>5.0942669999999995E-10</v>
      </c>
      <c r="S9" s="36">
        <v>5.0897670000000002E-10</v>
      </c>
      <c r="T9" s="36">
        <v>5.0890999999999995E-10</v>
      </c>
      <c r="U9">
        <v>5.0936830000000005E-10</v>
      </c>
      <c r="V9">
        <v>5.0918500000000004E-10</v>
      </c>
      <c r="W9">
        <v>5.0900170000000002E-10</v>
      </c>
      <c r="X9">
        <v>5.0907670000000005E-10</v>
      </c>
      <c r="Y9">
        <v>5.0928499999999996E-10</v>
      </c>
      <c r="Z9" s="36">
        <v>5.1056000000000004E-10</v>
      </c>
      <c r="AA9" s="36">
        <v>5.098933E-10</v>
      </c>
      <c r="AB9" s="36">
        <v>5.1011829999999997E-10</v>
      </c>
      <c r="AC9" s="36">
        <v>5.0986000000000004E-10</v>
      </c>
      <c r="AD9" s="36">
        <v>5.098933E-10</v>
      </c>
      <c r="AE9">
        <v>5.109267E-10</v>
      </c>
      <c r="AF9">
        <v>5.1061830000000002E-10</v>
      </c>
      <c r="AG9">
        <v>5.1040170000000004E-10</v>
      </c>
      <c r="AH9">
        <v>5.1046000000000001E-10</v>
      </c>
      <c r="AI9">
        <v>5.1021000000000004E-10</v>
      </c>
      <c r="AJ9" s="36">
        <v>5.1140999999999999E-10</v>
      </c>
      <c r="AK9" s="36">
        <v>5.109517E-10</v>
      </c>
      <c r="AL9" s="36">
        <v>5.1093499999999995E-10</v>
      </c>
      <c r="AM9" s="36">
        <v>5.1082669999999996E-10</v>
      </c>
      <c r="AN9" s="36">
        <v>5.1099330000000003E-10</v>
      </c>
      <c r="AO9">
        <v>5.0771829999999995E-10</v>
      </c>
      <c r="AP9">
        <v>5.0735170000000004E-10</v>
      </c>
      <c r="AQ9">
        <v>5.0753500000000005E-10</v>
      </c>
      <c r="AR9">
        <v>5.0770170000000004E-10</v>
      </c>
      <c r="AS9">
        <v>5.0746000000000002E-10</v>
      </c>
      <c r="AT9" s="36">
        <v>5.1068499999999998E-10</v>
      </c>
      <c r="AU9" s="36">
        <v>5.0987669999999998E-10</v>
      </c>
      <c r="AV9" s="36">
        <v>5.0988500000000004E-10</v>
      </c>
      <c r="AW9" s="36">
        <v>5.0987669999999998E-10</v>
      </c>
      <c r="AX9" s="36">
        <v>5.0970999999999999E-10</v>
      </c>
      <c r="AY9">
        <v>5.1151000000000003E-10</v>
      </c>
      <c r="AZ9">
        <v>5.1101830000000004E-10</v>
      </c>
      <c r="BA9">
        <v>5.1105999999999999E-10</v>
      </c>
      <c r="BB9">
        <v>5.109517E-10</v>
      </c>
      <c r="BC9">
        <v>5.108933E-10</v>
      </c>
      <c r="BD9" s="36">
        <v>5.1248500000000001E-10</v>
      </c>
      <c r="BE9" s="36">
        <v>5.1192669999999999E-10</v>
      </c>
      <c r="BF9" s="36">
        <v>5.122433E-10</v>
      </c>
      <c r="BG9" s="36">
        <v>5.1199330000000003E-10</v>
      </c>
      <c r="BH9" s="36">
        <v>5.1216000000000002E-10</v>
      </c>
      <c r="BI9">
        <v>5.1494170000000001E-10</v>
      </c>
      <c r="BJ9">
        <v>5.1437499999999999E-10</v>
      </c>
      <c r="BK9">
        <v>5.1424999999999996E-10</v>
      </c>
      <c r="BL9">
        <v>5.1449169999999997E-10</v>
      </c>
      <c r="BM9">
        <v>5.1432499999999998E-10</v>
      </c>
      <c r="BN9" s="36">
        <v>5.1545000000000001E-10</v>
      </c>
      <c r="BO9" s="36">
        <v>5.1503330000000005E-10</v>
      </c>
      <c r="BP9" s="36">
        <v>5.1479169999999996E-10</v>
      </c>
      <c r="BQ9" s="36">
        <v>5.1499170000000002E-10</v>
      </c>
      <c r="BR9" s="36">
        <v>5.1440829999999996E-10</v>
      </c>
    </row>
    <row r="10" spans="1:70" x14ac:dyDescent="0.15">
      <c r="A10">
        <v>5.1253500000000003E-10</v>
      </c>
      <c r="B10">
        <v>5.1237670000000003E-10</v>
      </c>
      <c r="C10">
        <v>5.1256829999999999E-10</v>
      </c>
      <c r="D10">
        <v>5.123017E-10</v>
      </c>
      <c r="E10">
        <v>5.12435E-10</v>
      </c>
      <c r="F10" s="36">
        <v>5.1093499999999995E-10</v>
      </c>
      <c r="G10" s="36">
        <v>5.1064330000000002E-10</v>
      </c>
      <c r="H10" s="36">
        <v>5.1064330000000002E-10</v>
      </c>
      <c r="I10" s="36">
        <v>5.1028499999999996E-10</v>
      </c>
      <c r="J10" s="36">
        <v>5.1048500000000002E-10</v>
      </c>
      <c r="K10">
        <v>5.0982669999999997E-10</v>
      </c>
      <c r="L10">
        <v>5.095433E-10</v>
      </c>
      <c r="M10">
        <v>5.0959330000000001E-10</v>
      </c>
      <c r="N10">
        <v>5.0939329999999995E-10</v>
      </c>
      <c r="O10">
        <v>5.0933499999999998E-10</v>
      </c>
      <c r="P10" s="36">
        <v>5.0950169999999997E-10</v>
      </c>
      <c r="Q10" s="36">
        <v>5.0920169999999998E-10</v>
      </c>
      <c r="R10" s="36">
        <v>5.0894330000000002E-10</v>
      </c>
      <c r="S10" s="36">
        <v>5.0945169999999996E-10</v>
      </c>
      <c r="T10" s="36">
        <v>5.0943500000000001E-10</v>
      </c>
      <c r="U10">
        <v>5.0963499999999997E-10</v>
      </c>
      <c r="V10">
        <v>5.0905170000000004E-10</v>
      </c>
      <c r="W10">
        <v>5.092517E-10</v>
      </c>
      <c r="X10">
        <v>5.0952669999999998E-10</v>
      </c>
      <c r="Y10">
        <v>5.0893499999999996E-10</v>
      </c>
      <c r="Z10" s="36">
        <v>5.1036830000000004E-10</v>
      </c>
      <c r="AA10" s="36">
        <v>5.099267E-10</v>
      </c>
      <c r="AB10" s="36">
        <v>5.0999330000000003E-10</v>
      </c>
      <c r="AC10" s="36">
        <v>5.0988500000000004E-10</v>
      </c>
      <c r="AD10" s="36">
        <v>5.0984329999999999E-10</v>
      </c>
      <c r="AE10">
        <v>5.1087669999999998E-10</v>
      </c>
      <c r="AF10">
        <v>5.1033499999999998E-10</v>
      </c>
      <c r="AG10">
        <v>5.1043500000000001E-10</v>
      </c>
      <c r="AH10">
        <v>5.1055169999999998E-10</v>
      </c>
      <c r="AI10">
        <v>5.1062670000000001E-10</v>
      </c>
      <c r="AJ10" s="36">
        <v>5.1132670000000001E-10</v>
      </c>
      <c r="AK10" s="36">
        <v>5.1081829999999998E-10</v>
      </c>
      <c r="AL10" s="36">
        <v>5.1070999999999999E-10</v>
      </c>
      <c r="AM10" s="36">
        <v>5.1076E-10</v>
      </c>
      <c r="AN10" s="36">
        <v>5.1074329999999995E-10</v>
      </c>
      <c r="AO10">
        <v>5.0767670000000003E-10</v>
      </c>
      <c r="AP10">
        <v>5.0725170000000001E-10</v>
      </c>
      <c r="AQ10">
        <v>5.0741829999999997E-10</v>
      </c>
      <c r="AR10">
        <v>5.0724330000000002E-10</v>
      </c>
      <c r="AS10">
        <v>5.0737670000000004E-10</v>
      </c>
      <c r="AT10" s="36">
        <v>5.1056000000000004E-10</v>
      </c>
      <c r="AU10" s="36">
        <v>5.09735E-10</v>
      </c>
      <c r="AV10" s="36">
        <v>5.0976000000000001E-10</v>
      </c>
      <c r="AW10" s="36">
        <v>5.0975170000000005E-10</v>
      </c>
      <c r="AX10" s="36">
        <v>5.0994330000000002E-10</v>
      </c>
      <c r="AY10">
        <v>5.1150169999999996E-10</v>
      </c>
      <c r="AZ10">
        <v>5.1109329999999996E-10</v>
      </c>
      <c r="BA10">
        <v>5.1112669999999995E-10</v>
      </c>
      <c r="BB10">
        <v>5.1117669999999997E-10</v>
      </c>
      <c r="BC10">
        <v>5.1111829999999996E-10</v>
      </c>
      <c r="BD10" s="36">
        <v>5.1245170000000005E-10</v>
      </c>
      <c r="BE10" s="36">
        <v>5.1199330000000003E-10</v>
      </c>
      <c r="BF10" s="36">
        <v>5.1246829999999996E-10</v>
      </c>
      <c r="BG10" s="36">
        <v>5.1205170000000003E-10</v>
      </c>
      <c r="BH10" s="36">
        <v>5.122767E-10</v>
      </c>
      <c r="BI10">
        <v>5.1462499999999997E-10</v>
      </c>
      <c r="BJ10">
        <v>5.1444169999999996E-10</v>
      </c>
      <c r="BK10">
        <v>5.1426670000000001E-10</v>
      </c>
      <c r="BL10">
        <v>5.1433330000000004E-10</v>
      </c>
      <c r="BM10">
        <v>5.1406670000000005E-10</v>
      </c>
      <c r="BN10" s="36">
        <v>5.1432499999999998E-10</v>
      </c>
      <c r="BO10" s="36">
        <v>5.139008E-10</v>
      </c>
      <c r="BP10" s="36">
        <v>5.1381000000000001E-10</v>
      </c>
      <c r="BQ10" s="36">
        <v>5.140925E-10</v>
      </c>
      <c r="BR10" s="36">
        <v>5.1364419999999999E-10</v>
      </c>
    </row>
    <row r="11" spans="1:70" x14ac:dyDescent="0.15">
      <c r="A11">
        <v>5.126267E-10</v>
      </c>
      <c r="B11">
        <v>5.1219329999999998E-10</v>
      </c>
      <c r="C11">
        <v>5.1213500000000001E-10</v>
      </c>
      <c r="D11">
        <v>5.1217669999999996E-10</v>
      </c>
      <c r="E11">
        <v>5.1245170000000005E-10</v>
      </c>
      <c r="F11" s="36">
        <v>5.1091000000000005E-10</v>
      </c>
      <c r="G11" s="36">
        <v>5.1049329999999998E-10</v>
      </c>
      <c r="H11" s="36">
        <v>5.1042670000000005E-10</v>
      </c>
      <c r="I11" s="36">
        <v>5.1070170000000003E-10</v>
      </c>
      <c r="J11" s="36">
        <v>5.1030999999999997E-10</v>
      </c>
      <c r="K11">
        <v>5.1016829999999998E-10</v>
      </c>
      <c r="L11">
        <v>5.0948500000000002E-10</v>
      </c>
      <c r="M11">
        <v>5.0944329999999997E-10</v>
      </c>
      <c r="N11">
        <v>5.0965170000000002E-10</v>
      </c>
      <c r="O11">
        <v>5.0957669999999999E-10</v>
      </c>
      <c r="P11" s="36">
        <v>5.0977669999999995E-10</v>
      </c>
      <c r="Q11" s="36">
        <v>5.0941829999999996E-10</v>
      </c>
      <c r="R11" s="36">
        <v>5.0937670000000004E-10</v>
      </c>
      <c r="S11" s="36">
        <v>5.0914329999999998E-10</v>
      </c>
      <c r="T11" s="36">
        <v>5.0936830000000005E-10</v>
      </c>
      <c r="U11">
        <v>5.0987669999999998E-10</v>
      </c>
      <c r="V11">
        <v>5.0914329999999998E-10</v>
      </c>
      <c r="W11">
        <v>5.0916829999999999E-10</v>
      </c>
      <c r="X11">
        <v>5.0911829999999997E-10</v>
      </c>
      <c r="Y11">
        <v>5.0910169999999995E-10</v>
      </c>
      <c r="Z11" s="36">
        <v>5.1058499999999995E-10</v>
      </c>
      <c r="AA11" s="36">
        <v>5.0995170000000001E-10</v>
      </c>
      <c r="AB11" s="36">
        <v>5.1002670000000003E-10</v>
      </c>
      <c r="AC11" s="36">
        <v>5.0990999999999995E-10</v>
      </c>
      <c r="AD11" s="36">
        <v>5.1017669999999997E-10</v>
      </c>
      <c r="AE11">
        <v>5.1076829999999996E-10</v>
      </c>
      <c r="AF11">
        <v>5.1039330000000005E-10</v>
      </c>
      <c r="AG11">
        <v>5.1035170000000003E-10</v>
      </c>
      <c r="AH11">
        <v>5.10085E-10</v>
      </c>
      <c r="AI11">
        <v>5.1047669999999996E-10</v>
      </c>
      <c r="AJ11" s="36">
        <v>5.1104330000000004E-10</v>
      </c>
      <c r="AK11" s="36">
        <v>5.1051829999999999E-10</v>
      </c>
      <c r="AL11" s="36">
        <v>5.1096830000000002E-10</v>
      </c>
      <c r="AM11" s="36">
        <v>5.1090169999999999E-10</v>
      </c>
      <c r="AN11" s="36">
        <v>5.1081000000000002E-10</v>
      </c>
      <c r="AO11">
        <v>5.0778500000000002E-10</v>
      </c>
      <c r="AP11">
        <v>5.0744329999999997E-10</v>
      </c>
      <c r="AQ11">
        <v>5.0731830000000004E-10</v>
      </c>
      <c r="AR11">
        <v>5.0737670000000004E-10</v>
      </c>
      <c r="AS11">
        <v>5.0760999999999997E-10</v>
      </c>
      <c r="AT11" s="36">
        <v>5.1031830000000003E-10</v>
      </c>
      <c r="AU11" s="36">
        <v>5.1012669999999996E-10</v>
      </c>
      <c r="AV11" s="36">
        <v>5.0977669999999995E-10</v>
      </c>
      <c r="AW11" s="36">
        <v>5.0998499999999997E-10</v>
      </c>
      <c r="AX11" s="36">
        <v>5.0965860000000005E-10</v>
      </c>
      <c r="AY11">
        <v>5.116017E-10</v>
      </c>
      <c r="AZ11">
        <v>5.112433E-10</v>
      </c>
      <c r="BA11">
        <v>5.1098499999999997E-10</v>
      </c>
      <c r="BB11">
        <v>5.1081829999999998E-10</v>
      </c>
      <c r="BC11">
        <v>5.1103499999999998E-10</v>
      </c>
      <c r="BD11" s="36">
        <v>5.1280919999999996E-10</v>
      </c>
      <c r="BE11" s="36">
        <v>5.1238499999999998E-10</v>
      </c>
      <c r="BF11" s="36">
        <v>5.1195999999999996E-10</v>
      </c>
      <c r="BG11" s="36">
        <v>5.1186000000000003E-10</v>
      </c>
      <c r="BH11" s="36">
        <v>5.1202670000000002E-10</v>
      </c>
      <c r="BI11">
        <v>5.1485000000000004E-10</v>
      </c>
      <c r="BJ11">
        <v>5.1436670000000004E-10</v>
      </c>
      <c r="BK11">
        <v>5.1405829999999996E-10</v>
      </c>
      <c r="BL11">
        <v>5.142083E-10</v>
      </c>
      <c r="BM11">
        <v>5.139167E-10</v>
      </c>
      <c r="BN11" s="36">
        <v>5.1434170000000003E-10</v>
      </c>
      <c r="BO11" s="36">
        <v>5.1388330000000001E-10</v>
      </c>
      <c r="BP11" s="36">
        <v>5.1392580000000001E-10</v>
      </c>
      <c r="BQ11" s="36">
        <v>5.1380170000000005E-10</v>
      </c>
      <c r="BR11" s="36">
        <v>5.1383419999999997E-10</v>
      </c>
    </row>
    <row r="12" spans="1:70" x14ac:dyDescent="0.15">
      <c r="A12">
        <v>5.1235999999999998E-10</v>
      </c>
      <c r="B12">
        <v>5.1192669999999999E-10</v>
      </c>
      <c r="C12">
        <v>5.1205999999999999E-10</v>
      </c>
      <c r="D12">
        <v>5.122433E-10</v>
      </c>
      <c r="E12">
        <v>5.1250169999999996E-10</v>
      </c>
      <c r="F12" s="36">
        <v>5.1079329999999997E-10</v>
      </c>
      <c r="G12" s="36">
        <v>5.1051829999999999E-10</v>
      </c>
      <c r="H12" s="36">
        <v>5.1058499999999995E-10</v>
      </c>
      <c r="I12" s="36">
        <v>5.1051000000000003E-10</v>
      </c>
      <c r="J12" s="36">
        <v>5.1030999999999997E-10</v>
      </c>
      <c r="K12">
        <v>5.0986000000000004E-10</v>
      </c>
      <c r="L12">
        <v>5.0946000000000002E-10</v>
      </c>
      <c r="M12">
        <v>5.0926830000000002E-10</v>
      </c>
      <c r="N12">
        <v>5.0969330000000004E-10</v>
      </c>
      <c r="O12">
        <v>5.0950169999999997E-10</v>
      </c>
      <c r="P12" s="36">
        <v>5.0969330000000004E-10</v>
      </c>
      <c r="Q12" s="36">
        <v>5.0933499999999998E-10</v>
      </c>
      <c r="R12" s="36">
        <v>5.0928499999999996E-10</v>
      </c>
      <c r="S12" s="36">
        <v>5.0897670000000002E-10</v>
      </c>
      <c r="T12" s="36">
        <v>5.0921000000000004E-10</v>
      </c>
      <c r="U12">
        <v>5.0978500000000001E-10</v>
      </c>
      <c r="V12">
        <v>5.0938499999999999E-10</v>
      </c>
      <c r="W12">
        <v>5.0922669999999999E-10</v>
      </c>
      <c r="X12">
        <v>5.0943500000000001E-10</v>
      </c>
      <c r="Y12">
        <v>5.0907670000000005E-10</v>
      </c>
      <c r="Z12" s="36">
        <v>5.1035170000000003E-10</v>
      </c>
      <c r="AA12" s="36">
        <v>5.0985169999999998E-10</v>
      </c>
      <c r="AB12" s="36">
        <v>5.0998499999999997E-10</v>
      </c>
      <c r="AC12" s="36">
        <v>5.0995999999999996E-10</v>
      </c>
      <c r="AD12" s="36">
        <v>5.1001830000000004E-10</v>
      </c>
      <c r="AE12">
        <v>5.1068499999999998E-10</v>
      </c>
      <c r="AF12">
        <v>5.1042670000000005E-10</v>
      </c>
      <c r="AG12">
        <v>5.1037670000000003E-10</v>
      </c>
      <c r="AH12">
        <v>5.1019329999999999E-10</v>
      </c>
      <c r="AI12">
        <v>5.1050169999999997E-10</v>
      </c>
      <c r="AJ12" s="36">
        <v>5.1105170000000003E-10</v>
      </c>
      <c r="AK12" s="36">
        <v>5.1076829999999996E-10</v>
      </c>
      <c r="AL12" s="36">
        <v>5.1050169999999997E-10</v>
      </c>
      <c r="AM12" s="36">
        <v>5.1060999999999996E-10</v>
      </c>
      <c r="AN12" s="36">
        <v>5.1085169999999997E-10</v>
      </c>
      <c r="AO12">
        <v>5.0811829999999997E-10</v>
      </c>
      <c r="AP12">
        <v>5.0765170000000002E-10</v>
      </c>
      <c r="AQ12">
        <v>5.0745169999999996E-10</v>
      </c>
      <c r="AR12">
        <v>5.0771E-10</v>
      </c>
      <c r="AS12">
        <v>5.0747669999999997E-10</v>
      </c>
      <c r="AT12" s="36">
        <v>5.1034330000000004E-10</v>
      </c>
      <c r="AU12" s="36">
        <v>5.0994330000000002E-10</v>
      </c>
      <c r="AV12" s="36">
        <v>5.0994330000000002E-10</v>
      </c>
      <c r="AW12" s="36">
        <v>5.0961830000000002E-10</v>
      </c>
      <c r="AX12" s="36">
        <v>5.0970999999999999E-10</v>
      </c>
      <c r="AY12">
        <v>5.1164330000000002E-10</v>
      </c>
      <c r="AZ12">
        <v>5.1122669999999998E-10</v>
      </c>
      <c r="BA12">
        <v>5.1100170000000002E-10</v>
      </c>
      <c r="BB12">
        <v>5.1091000000000005E-10</v>
      </c>
      <c r="BC12">
        <v>5.1125169999999999E-10</v>
      </c>
      <c r="BD12" s="36">
        <v>5.1290919999999999E-10</v>
      </c>
      <c r="BE12" s="36">
        <v>5.1235999999999998E-10</v>
      </c>
      <c r="BF12" s="36">
        <v>5.1198499999999996E-10</v>
      </c>
      <c r="BG12" s="36">
        <v>5.1210170000000005E-10</v>
      </c>
      <c r="BH12" s="36">
        <v>5.1206830000000005E-10</v>
      </c>
      <c r="BI12">
        <v>5.1458330000000001E-10</v>
      </c>
      <c r="BJ12">
        <v>5.1394999999999997E-10</v>
      </c>
      <c r="BK12">
        <v>5.1410000000000001E-10</v>
      </c>
      <c r="BL12">
        <v>5.1401670000000003E-10</v>
      </c>
      <c r="BM12">
        <v>5.136533E-10</v>
      </c>
      <c r="BN12" s="36">
        <v>5.1436670000000004E-10</v>
      </c>
      <c r="BO12" s="36">
        <v>5.1368580000000002E-10</v>
      </c>
      <c r="BP12" s="36">
        <v>5.1342999999999995E-10</v>
      </c>
      <c r="BQ12" s="36">
        <v>5.1357000000000002E-10</v>
      </c>
      <c r="BR12" s="36">
        <v>5.1325580000000005E-10</v>
      </c>
    </row>
    <row r="13" spans="1:70" x14ac:dyDescent="0.15">
      <c r="A13">
        <v>5.1249329999999997E-10</v>
      </c>
      <c r="B13">
        <v>5.1216000000000002E-10</v>
      </c>
      <c r="C13">
        <v>5.1237670000000003E-10</v>
      </c>
      <c r="D13">
        <v>5.1255919999999999E-10</v>
      </c>
      <c r="E13">
        <v>5.1216000000000002E-10</v>
      </c>
      <c r="F13" s="36">
        <v>5.1113500000000001E-10</v>
      </c>
      <c r="G13" s="36">
        <v>5.1061830000000002E-10</v>
      </c>
      <c r="H13" s="36">
        <v>5.1055169999999998E-10</v>
      </c>
      <c r="I13" s="36">
        <v>5.1035999999999998E-10</v>
      </c>
      <c r="J13" s="36">
        <v>5.1041829999999996E-10</v>
      </c>
      <c r="K13">
        <v>5.1001830000000004E-10</v>
      </c>
      <c r="L13">
        <v>5.0961830000000002E-10</v>
      </c>
      <c r="M13">
        <v>5.0966830000000004E-10</v>
      </c>
      <c r="N13">
        <v>5.0933499999999998E-10</v>
      </c>
      <c r="O13">
        <v>5.0939329999999995E-10</v>
      </c>
      <c r="P13" s="36">
        <v>5.099267E-10</v>
      </c>
      <c r="Q13" s="36">
        <v>5.0951829999999999E-10</v>
      </c>
      <c r="R13" s="36">
        <v>5.0938499999999999E-10</v>
      </c>
      <c r="S13" s="36">
        <v>5.0921000000000004E-10</v>
      </c>
      <c r="T13" s="36">
        <v>5.0934330000000004E-10</v>
      </c>
      <c r="U13">
        <v>5.0986000000000004E-10</v>
      </c>
      <c r="V13">
        <v>5.0906829999999996E-10</v>
      </c>
      <c r="W13">
        <v>5.0930170000000001E-10</v>
      </c>
      <c r="X13">
        <v>5.0922669999999999E-10</v>
      </c>
      <c r="Y13">
        <v>5.0916829999999999E-10</v>
      </c>
      <c r="Z13" s="36">
        <v>5.1036830000000004E-10</v>
      </c>
      <c r="AA13" s="36">
        <v>5.0993499999999996E-10</v>
      </c>
      <c r="AB13" s="36">
        <v>5.0979329999999997E-10</v>
      </c>
      <c r="AC13" s="36">
        <v>5.0987669999999998E-10</v>
      </c>
      <c r="AD13" s="36">
        <v>5.0970999999999999E-10</v>
      </c>
      <c r="AE13">
        <v>5.1056000000000004E-10</v>
      </c>
      <c r="AF13">
        <v>5.1035999999999998E-10</v>
      </c>
      <c r="AG13">
        <v>5.10085E-10</v>
      </c>
      <c r="AH13">
        <v>5.1045169999999995E-10</v>
      </c>
      <c r="AI13">
        <v>5.10085E-10</v>
      </c>
      <c r="AJ13" s="36">
        <v>5.1116000000000002E-10</v>
      </c>
      <c r="AK13" s="36">
        <v>5.1072670000000004E-10</v>
      </c>
      <c r="AL13" s="36">
        <v>5.106017E-10</v>
      </c>
      <c r="AM13" s="36">
        <v>5.1052669999999998E-10</v>
      </c>
      <c r="AN13" s="36">
        <v>5.1050169999999997E-10</v>
      </c>
      <c r="AO13">
        <v>5.0788500000000005E-10</v>
      </c>
      <c r="AP13">
        <v>5.0772670000000005E-10</v>
      </c>
      <c r="AQ13">
        <v>5.0781829999999999E-10</v>
      </c>
      <c r="AR13">
        <v>5.0755169999999999E-10</v>
      </c>
      <c r="AS13">
        <v>5.0753500000000005E-10</v>
      </c>
      <c r="AT13" s="36">
        <v>5.1041E-10</v>
      </c>
      <c r="AU13" s="36">
        <v>5.0971830000000005E-10</v>
      </c>
      <c r="AV13" s="36">
        <v>5.0970170000000003E-10</v>
      </c>
      <c r="AW13" s="36">
        <v>5.0948500000000002E-10</v>
      </c>
      <c r="AX13" s="36">
        <v>5.0965170000000002E-10</v>
      </c>
      <c r="AY13">
        <v>5.11435E-10</v>
      </c>
      <c r="AZ13">
        <v>5.1140999999999999E-10</v>
      </c>
      <c r="BA13">
        <v>5.1122669999999998E-10</v>
      </c>
      <c r="BB13">
        <v>5.1109329999999996E-10</v>
      </c>
      <c r="BC13">
        <v>5.1112669999999995E-10</v>
      </c>
      <c r="BD13" s="36">
        <v>5.1253500000000003E-10</v>
      </c>
      <c r="BE13" s="36">
        <v>5.12435E-10</v>
      </c>
      <c r="BF13" s="36">
        <v>5.122433E-10</v>
      </c>
      <c r="BG13" s="36">
        <v>5.1213500000000001E-10</v>
      </c>
      <c r="BH13" s="36">
        <v>5.1215169999999996E-10</v>
      </c>
      <c r="BI13">
        <v>5.1434999999999999E-10</v>
      </c>
      <c r="BJ13">
        <v>5.1392580000000001E-10</v>
      </c>
      <c r="BK13">
        <v>5.1400920000000002E-10</v>
      </c>
      <c r="BL13">
        <v>5.1402499999999999E-10</v>
      </c>
      <c r="BM13">
        <v>5.1397499999999998E-10</v>
      </c>
      <c r="BN13" s="36">
        <v>5.1440829999999996E-10</v>
      </c>
      <c r="BO13" s="36">
        <v>5.1360169999999999E-10</v>
      </c>
      <c r="BP13" s="36">
        <v>5.1395920000000001E-10</v>
      </c>
      <c r="BQ13" s="36">
        <v>5.1353670000000005E-10</v>
      </c>
      <c r="BR13" s="36">
        <v>5.1380170000000005E-10</v>
      </c>
    </row>
    <row r="14" spans="1:70" x14ac:dyDescent="0.15">
      <c r="A14">
        <v>5.1237670000000003E-10</v>
      </c>
      <c r="B14">
        <v>5.1201830000000003E-10</v>
      </c>
      <c r="C14">
        <v>5.1200170000000001E-10</v>
      </c>
      <c r="D14">
        <v>5.1211E-10</v>
      </c>
      <c r="E14">
        <v>5.1207670000000004E-10</v>
      </c>
      <c r="F14" s="36">
        <v>5.1075170000000004E-10</v>
      </c>
      <c r="G14" s="36">
        <v>5.1010169999999995E-10</v>
      </c>
      <c r="H14" s="36">
        <v>5.1040170000000004E-10</v>
      </c>
      <c r="I14" s="36">
        <v>5.1043500000000001E-10</v>
      </c>
      <c r="J14" s="36">
        <v>5.1054329999999999E-10</v>
      </c>
      <c r="K14">
        <v>5.1005170000000004E-10</v>
      </c>
      <c r="L14">
        <v>5.0965999999999998E-10</v>
      </c>
      <c r="M14">
        <v>5.095433E-10</v>
      </c>
      <c r="N14">
        <v>5.0970999999999999E-10</v>
      </c>
      <c r="O14">
        <v>5.0961830000000002E-10</v>
      </c>
      <c r="P14" s="36">
        <v>5.0995170000000001E-10</v>
      </c>
      <c r="Q14" s="36">
        <v>5.0943500000000001E-10</v>
      </c>
      <c r="R14" s="36">
        <v>5.0925999999999996E-10</v>
      </c>
      <c r="S14" s="36">
        <v>5.0928499999999996E-10</v>
      </c>
      <c r="T14" s="36">
        <v>5.0933499999999998E-10</v>
      </c>
      <c r="U14">
        <v>5.1000999999999998E-10</v>
      </c>
      <c r="V14">
        <v>5.0956000000000005E-10</v>
      </c>
      <c r="W14">
        <v>5.0965999999999998E-10</v>
      </c>
      <c r="X14">
        <v>5.0938499999999999E-10</v>
      </c>
      <c r="Y14">
        <v>5.0926830000000002E-10</v>
      </c>
      <c r="Z14" s="36">
        <v>5.10085E-10</v>
      </c>
      <c r="AA14" s="36">
        <v>5.0981829999999998E-10</v>
      </c>
      <c r="AB14" s="36">
        <v>5.0957669999999999E-10</v>
      </c>
      <c r="AC14" s="36">
        <v>5.0979329999999997E-10</v>
      </c>
      <c r="AD14" s="36">
        <v>5.096017E-10</v>
      </c>
      <c r="AE14">
        <v>5.1066830000000003E-10</v>
      </c>
      <c r="AF14">
        <v>5.1026830000000001E-10</v>
      </c>
      <c r="AG14">
        <v>5.1071830000000005E-10</v>
      </c>
      <c r="AH14">
        <v>5.1022669999999999E-10</v>
      </c>
      <c r="AI14">
        <v>5.1020169999999998E-10</v>
      </c>
      <c r="AJ14" s="36">
        <v>5.1109329999999996E-10</v>
      </c>
      <c r="AK14" s="36">
        <v>5.1062670000000001E-10</v>
      </c>
      <c r="AL14" s="36">
        <v>5.1076E-10</v>
      </c>
      <c r="AM14" s="36">
        <v>5.1073499999999999E-10</v>
      </c>
      <c r="AN14" s="36">
        <v>5.1041829999999996E-10</v>
      </c>
      <c r="AO14">
        <v>5.0811000000000002E-10</v>
      </c>
      <c r="AP14">
        <v>5.0767670000000003E-10</v>
      </c>
      <c r="AQ14">
        <v>5.0742669999999996E-10</v>
      </c>
      <c r="AR14">
        <v>5.0762670000000002E-10</v>
      </c>
      <c r="AS14">
        <v>5.0748500000000003E-10</v>
      </c>
      <c r="AT14" s="36">
        <v>5.1044329999999996E-10</v>
      </c>
      <c r="AU14" s="36">
        <v>5.0970170000000003E-10</v>
      </c>
      <c r="AV14" s="36">
        <v>5.0974329999999996E-10</v>
      </c>
      <c r="AW14" s="36">
        <v>5.0952669999999998E-10</v>
      </c>
      <c r="AX14" s="36">
        <v>5.0953500000000004E-10</v>
      </c>
      <c r="AY14">
        <v>5.1151000000000003E-10</v>
      </c>
      <c r="AZ14">
        <v>5.1132670000000001E-10</v>
      </c>
      <c r="BA14">
        <v>5.1101830000000004E-10</v>
      </c>
      <c r="BB14">
        <v>5.1116829999999998E-10</v>
      </c>
      <c r="BC14">
        <v>5.1111829999999996E-10</v>
      </c>
      <c r="BD14" s="36">
        <v>5.1266830000000003E-10</v>
      </c>
      <c r="BE14" s="36">
        <v>5.1235170000000002E-10</v>
      </c>
      <c r="BF14" s="36">
        <v>5.1216829999999998E-10</v>
      </c>
      <c r="BG14" s="36">
        <v>5.1226830000000001E-10</v>
      </c>
      <c r="BH14" s="36">
        <v>5.1214329999999997E-10</v>
      </c>
      <c r="BI14">
        <v>5.1429999999999997E-10</v>
      </c>
      <c r="BJ14">
        <v>5.1394170000000001E-10</v>
      </c>
      <c r="BK14">
        <v>5.1347249999999996E-10</v>
      </c>
      <c r="BL14">
        <v>5.1377579999999996E-10</v>
      </c>
      <c r="BM14">
        <v>5.1365080000000003E-10</v>
      </c>
      <c r="BN14" s="36">
        <v>5.1410829999999997E-10</v>
      </c>
      <c r="BO14" s="36">
        <v>5.1370170000000002E-10</v>
      </c>
      <c r="BP14" s="36">
        <v>5.1350329999999995E-10</v>
      </c>
      <c r="BQ14" s="36">
        <v>5.1369249999999998E-10</v>
      </c>
      <c r="BR14" s="36">
        <v>5.1342080000000002E-10</v>
      </c>
    </row>
    <row r="15" spans="1:70" x14ac:dyDescent="0.15">
      <c r="A15">
        <v>5.122433E-10</v>
      </c>
      <c r="B15">
        <v>5.1196830000000002E-10</v>
      </c>
      <c r="C15">
        <v>5.1192669999999999E-10</v>
      </c>
      <c r="D15">
        <v>5.1202670000000002E-10</v>
      </c>
      <c r="E15">
        <v>5.1217669999999996E-10</v>
      </c>
      <c r="F15" s="36">
        <v>5.1086000000000003E-10</v>
      </c>
      <c r="G15" s="36">
        <v>5.1024330000000001E-10</v>
      </c>
      <c r="H15" s="36">
        <v>5.1051829999999999E-10</v>
      </c>
      <c r="I15" s="36">
        <v>5.102767E-10</v>
      </c>
      <c r="J15" s="36">
        <v>5.1016000000000003E-10</v>
      </c>
      <c r="K15">
        <v>5.0998499999999997E-10</v>
      </c>
      <c r="L15">
        <v>5.0951000000000003E-10</v>
      </c>
      <c r="M15">
        <v>5.0981000000000002E-10</v>
      </c>
      <c r="N15">
        <v>5.0964330000000003E-10</v>
      </c>
      <c r="O15">
        <v>5.096017E-10</v>
      </c>
      <c r="P15" s="36">
        <v>5.0981000000000002E-10</v>
      </c>
      <c r="Q15" s="36">
        <v>5.0963499999999997E-10</v>
      </c>
      <c r="R15" s="36">
        <v>5.0965999999999998E-10</v>
      </c>
      <c r="S15" s="36">
        <v>5.0947669999999996E-10</v>
      </c>
      <c r="T15" s="36">
        <v>5.0965999999999998E-10</v>
      </c>
      <c r="U15">
        <v>5.102183E-10</v>
      </c>
      <c r="V15">
        <v>5.0916829999999999E-10</v>
      </c>
      <c r="W15">
        <v>5.0934330000000004E-10</v>
      </c>
      <c r="X15">
        <v>5.0918500000000004E-10</v>
      </c>
      <c r="Y15">
        <v>5.0951000000000003E-10</v>
      </c>
      <c r="Z15" s="36">
        <v>5.1037670000000003E-10</v>
      </c>
      <c r="AA15" s="36">
        <v>5.0964330000000003E-10</v>
      </c>
      <c r="AB15" s="36">
        <v>5.0976829999999996E-10</v>
      </c>
      <c r="AC15" s="36">
        <v>5.0996830000000002E-10</v>
      </c>
      <c r="AD15" s="36">
        <v>5.0953500000000004E-10</v>
      </c>
      <c r="AE15">
        <v>5.1070999999999999E-10</v>
      </c>
      <c r="AF15">
        <v>5.0981000000000002E-10</v>
      </c>
      <c r="AG15">
        <v>5.1026830000000001E-10</v>
      </c>
      <c r="AH15">
        <v>5.1026830000000001E-10</v>
      </c>
      <c r="AI15">
        <v>5.1005999999999999E-10</v>
      </c>
      <c r="AJ15" s="36">
        <v>5.1100999999999998E-10</v>
      </c>
      <c r="AK15" s="36">
        <v>5.1035790000000004E-10</v>
      </c>
      <c r="AL15" s="36">
        <v>5.1057669999999999E-10</v>
      </c>
      <c r="AM15" s="36">
        <v>5.1017669999999997E-10</v>
      </c>
      <c r="AN15" s="36">
        <v>5.1040170000000004E-10</v>
      </c>
      <c r="AO15">
        <v>5.0799330000000004E-10</v>
      </c>
      <c r="AP15">
        <v>5.0783500000000004E-10</v>
      </c>
      <c r="AQ15">
        <v>5.0768499999999999E-10</v>
      </c>
      <c r="AR15">
        <v>5.0752669999999999E-10</v>
      </c>
      <c r="AS15">
        <v>5.0771E-10</v>
      </c>
      <c r="AT15" s="36">
        <v>5.1002670000000003E-10</v>
      </c>
      <c r="AU15" s="36">
        <v>5.0955169999999999E-10</v>
      </c>
      <c r="AV15" s="36">
        <v>5.0956000000000005E-10</v>
      </c>
      <c r="AW15" s="36">
        <v>5.0968499999999998E-10</v>
      </c>
      <c r="AX15" s="36">
        <v>5.0940170000000004E-10</v>
      </c>
      <c r="AY15">
        <v>5.1203499999999998E-10</v>
      </c>
      <c r="AZ15">
        <v>5.1125169999999999E-10</v>
      </c>
      <c r="BA15">
        <v>5.1116829999999998E-10</v>
      </c>
      <c r="BB15">
        <v>5.1134330000000003E-10</v>
      </c>
      <c r="BC15">
        <v>5.1157669999999999E-10</v>
      </c>
      <c r="BD15" s="36">
        <v>5.1282669999999996E-10</v>
      </c>
      <c r="BE15" s="36">
        <v>5.1235999999999998E-10</v>
      </c>
      <c r="BF15" s="36">
        <v>5.1250169999999996E-10</v>
      </c>
      <c r="BG15" s="36">
        <v>5.1221000000000003E-10</v>
      </c>
      <c r="BH15" s="36">
        <v>5.1256000000000004E-10</v>
      </c>
      <c r="BI15">
        <v>5.1412500000000002E-10</v>
      </c>
      <c r="BJ15">
        <v>5.1382500000000003E-10</v>
      </c>
      <c r="BK15">
        <v>5.1356079999999998E-10</v>
      </c>
      <c r="BL15">
        <v>5.136358E-10</v>
      </c>
      <c r="BM15">
        <v>5.1358669999999996E-10</v>
      </c>
      <c r="BN15" s="36">
        <v>5.1394170000000001E-10</v>
      </c>
      <c r="BO15" s="36">
        <v>5.1381000000000001E-10</v>
      </c>
      <c r="BP15" s="36">
        <v>5.135625E-10</v>
      </c>
      <c r="BQ15" s="36">
        <v>5.1346249999999997E-10</v>
      </c>
      <c r="BR15" s="36">
        <v>5.1322420000000001E-10</v>
      </c>
    </row>
    <row r="16" spans="1:70" x14ac:dyDescent="0.15">
      <c r="A16">
        <v>5.1238499999999998E-10</v>
      </c>
      <c r="B16">
        <v>5.1207670000000004E-10</v>
      </c>
      <c r="C16">
        <v>5.1203499999999998E-10</v>
      </c>
      <c r="D16">
        <v>5.1199330000000003E-10</v>
      </c>
      <c r="E16">
        <v>5.1202670000000002E-10</v>
      </c>
      <c r="F16" s="36">
        <v>5.1059330000000001E-10</v>
      </c>
      <c r="G16" s="36">
        <v>5.1026830000000001E-10</v>
      </c>
      <c r="H16" s="36">
        <v>5.1037670000000003E-10</v>
      </c>
      <c r="I16" s="36">
        <v>5.1019329999999999E-10</v>
      </c>
      <c r="J16" s="36">
        <v>5.1040170000000004E-10</v>
      </c>
      <c r="K16">
        <v>5.1002670000000003E-10</v>
      </c>
      <c r="L16">
        <v>5.0951000000000003E-10</v>
      </c>
      <c r="M16">
        <v>5.0948500000000002E-10</v>
      </c>
      <c r="N16">
        <v>5.0965999999999998E-10</v>
      </c>
      <c r="O16">
        <v>5.0988500000000004E-10</v>
      </c>
      <c r="P16" s="36">
        <v>5.0997670000000001E-10</v>
      </c>
      <c r="Q16" s="36">
        <v>5.0930999999999997E-10</v>
      </c>
      <c r="R16" s="36">
        <v>5.0935999999999999E-10</v>
      </c>
      <c r="S16" s="36">
        <v>5.0956830000000001E-10</v>
      </c>
      <c r="T16" s="36">
        <v>5.0951000000000003E-10</v>
      </c>
      <c r="U16">
        <v>5.0996830000000002E-10</v>
      </c>
      <c r="V16">
        <v>5.0956000000000005E-10</v>
      </c>
      <c r="W16">
        <v>5.0952669999999998E-10</v>
      </c>
      <c r="X16">
        <v>5.0970999999999999E-10</v>
      </c>
      <c r="Y16">
        <v>5.0956000000000005E-10</v>
      </c>
      <c r="Z16" s="36">
        <v>5.102183E-10</v>
      </c>
      <c r="AA16" s="36">
        <v>5.0967670000000003E-10</v>
      </c>
      <c r="AB16" s="36">
        <v>5.0962670000000001E-10</v>
      </c>
      <c r="AC16" s="36">
        <v>5.0995170000000001E-10</v>
      </c>
      <c r="AD16" s="36">
        <v>5.0998499999999997E-10</v>
      </c>
      <c r="AE16">
        <v>5.1056000000000004E-10</v>
      </c>
      <c r="AF16">
        <v>5.102183E-10</v>
      </c>
      <c r="AG16">
        <v>5.1017669999999997E-10</v>
      </c>
      <c r="AH16">
        <v>5.0995170000000001E-10</v>
      </c>
      <c r="AI16">
        <v>5.1024330000000001E-10</v>
      </c>
      <c r="AJ16" s="36">
        <v>5.1097670000000001E-10</v>
      </c>
      <c r="AK16" s="36">
        <v>5.1067670000000002E-10</v>
      </c>
      <c r="AL16" s="36">
        <v>5.1047669999999996E-10</v>
      </c>
      <c r="AM16" s="36">
        <v>5.1037670000000003E-10</v>
      </c>
      <c r="AN16" s="36">
        <v>5.102767E-10</v>
      </c>
      <c r="AO16">
        <v>5.0791830000000002E-10</v>
      </c>
      <c r="AP16">
        <v>5.0746000000000002E-10</v>
      </c>
      <c r="AQ16">
        <v>5.0766830000000004E-10</v>
      </c>
      <c r="AR16">
        <v>5.0764330000000004E-10</v>
      </c>
      <c r="AS16">
        <v>5.0779329999999998E-10</v>
      </c>
      <c r="AT16" s="36">
        <v>5.099267E-10</v>
      </c>
      <c r="AU16" s="36">
        <v>5.0953500000000004E-10</v>
      </c>
      <c r="AV16" s="36">
        <v>5.0961830000000002E-10</v>
      </c>
      <c r="AW16" s="36">
        <v>5.0975170000000005E-10</v>
      </c>
      <c r="AX16" s="36">
        <v>5.0967670000000003E-10</v>
      </c>
      <c r="AY16">
        <v>5.1158500000000005E-10</v>
      </c>
      <c r="AZ16">
        <v>5.1141829999999995E-10</v>
      </c>
      <c r="BA16">
        <v>5.1097670000000001E-10</v>
      </c>
      <c r="BB16">
        <v>5.1136830000000004E-10</v>
      </c>
      <c r="BC16">
        <v>5.1115169999999996E-10</v>
      </c>
      <c r="BD16" s="36">
        <v>5.1279329999999996E-10</v>
      </c>
      <c r="BE16" s="36">
        <v>5.1210170000000005E-10</v>
      </c>
      <c r="BF16" s="36">
        <v>5.12435E-10</v>
      </c>
      <c r="BG16" s="36">
        <v>5.1190169999999998E-10</v>
      </c>
      <c r="BH16" s="36">
        <v>5.1239330000000004E-10</v>
      </c>
      <c r="BI16">
        <v>5.1389999999999995E-10</v>
      </c>
      <c r="BJ16">
        <v>5.1347920000000002E-10</v>
      </c>
      <c r="BK16">
        <v>5.1341170000000001E-10</v>
      </c>
      <c r="BL16">
        <v>5.1341330000000001E-10</v>
      </c>
      <c r="BM16">
        <v>5.1352829999999996E-10</v>
      </c>
      <c r="BN16" s="36">
        <v>5.1392669999999998E-10</v>
      </c>
      <c r="BO16" s="36">
        <v>5.1370999999999998E-10</v>
      </c>
      <c r="BP16" s="36">
        <v>5.1344750000000005E-10</v>
      </c>
      <c r="BQ16" s="36">
        <v>5.1338000000000004E-10</v>
      </c>
      <c r="BR16" s="36">
        <v>5.1339750000000004E-10</v>
      </c>
    </row>
    <row r="17" spans="1:70" x14ac:dyDescent="0.15">
      <c r="A17">
        <v>5.1232670000000001E-10</v>
      </c>
      <c r="B17">
        <v>5.1167670000000002E-10</v>
      </c>
      <c r="C17">
        <v>5.1197670000000001E-10</v>
      </c>
      <c r="D17">
        <v>5.1177670000000005E-10</v>
      </c>
      <c r="E17">
        <v>5.1173499999999999E-10</v>
      </c>
      <c r="F17" s="36">
        <v>5.1070999999999999E-10</v>
      </c>
      <c r="G17" s="36">
        <v>5.1039330000000005E-10</v>
      </c>
      <c r="H17" s="36">
        <v>5.1028499999999996E-10</v>
      </c>
      <c r="I17" s="36">
        <v>5.1030999999999997E-10</v>
      </c>
      <c r="J17" s="36">
        <v>5.1017669999999997E-10</v>
      </c>
      <c r="K17">
        <v>5.1034330000000004E-10</v>
      </c>
      <c r="L17">
        <v>5.0941829999999996E-10</v>
      </c>
      <c r="M17">
        <v>5.0962670000000001E-10</v>
      </c>
      <c r="N17">
        <v>5.0970999999999999E-10</v>
      </c>
      <c r="O17">
        <v>5.0981829999999998E-10</v>
      </c>
      <c r="P17" s="36">
        <v>5.0976829999999996E-10</v>
      </c>
      <c r="Q17" s="36">
        <v>5.0965999999999998E-10</v>
      </c>
      <c r="R17" s="36">
        <v>5.0963499999999997E-10</v>
      </c>
      <c r="S17" s="36">
        <v>5.0950169999999997E-10</v>
      </c>
      <c r="T17" s="36">
        <v>5.0935999999999999E-10</v>
      </c>
      <c r="U17">
        <v>5.099267E-10</v>
      </c>
      <c r="V17">
        <v>5.0955169999999999E-10</v>
      </c>
      <c r="W17">
        <v>5.0961830000000002E-10</v>
      </c>
      <c r="X17">
        <v>5.0938499999999999E-10</v>
      </c>
      <c r="Y17">
        <v>5.095433E-10</v>
      </c>
      <c r="Z17" s="36">
        <v>5.1016000000000003E-10</v>
      </c>
      <c r="AA17" s="36">
        <v>5.0966830000000004E-10</v>
      </c>
      <c r="AB17" s="36">
        <v>5.0948500000000002E-10</v>
      </c>
      <c r="AC17" s="36">
        <v>5.0953500000000004E-10</v>
      </c>
      <c r="AD17" s="36">
        <v>5.0935170000000003E-10</v>
      </c>
      <c r="AE17">
        <v>5.102767E-10</v>
      </c>
      <c r="AF17">
        <v>5.1009329999999996E-10</v>
      </c>
      <c r="AG17">
        <v>5.0999330000000003E-10</v>
      </c>
      <c r="AH17">
        <v>5.1005170000000004E-10</v>
      </c>
      <c r="AI17">
        <v>5.1010169999999995E-10</v>
      </c>
      <c r="AJ17" s="36">
        <v>5.1065999999999997E-10</v>
      </c>
      <c r="AK17" s="36">
        <v>5.1050169999999997E-10</v>
      </c>
      <c r="AL17" s="36">
        <v>5.1035999999999998E-10</v>
      </c>
      <c r="AM17" s="36">
        <v>5.1013500000000002E-10</v>
      </c>
      <c r="AN17" s="36">
        <v>5.1040170000000004E-10</v>
      </c>
      <c r="AO17">
        <v>5.0823499999999995E-10</v>
      </c>
      <c r="AP17">
        <v>5.0768499999999999E-10</v>
      </c>
      <c r="AQ17">
        <v>5.079017E-10</v>
      </c>
      <c r="AR17">
        <v>5.0775169999999995E-10</v>
      </c>
      <c r="AS17">
        <v>5.0789330000000001E-10</v>
      </c>
      <c r="AT17" s="36">
        <v>5.0978500000000001E-10</v>
      </c>
      <c r="AU17" s="36">
        <v>5.0965170000000002E-10</v>
      </c>
      <c r="AV17" s="36">
        <v>5.0930999999999997E-10</v>
      </c>
      <c r="AW17" s="36">
        <v>5.096017E-10</v>
      </c>
      <c r="AX17" s="36">
        <v>5.0951000000000003E-10</v>
      </c>
      <c r="AY17">
        <v>5.116017E-10</v>
      </c>
      <c r="AZ17">
        <v>5.1151829999999998E-10</v>
      </c>
      <c r="BA17">
        <v>5.1167670000000002E-10</v>
      </c>
      <c r="BB17">
        <v>5.1135999999999998E-10</v>
      </c>
      <c r="BC17">
        <v>5.1164330000000002E-10</v>
      </c>
      <c r="BD17" s="36">
        <v>5.1270999999999998E-10</v>
      </c>
      <c r="BE17" s="36">
        <v>5.1229330000000001E-10</v>
      </c>
      <c r="BF17" s="36">
        <v>5.1232670000000001E-10</v>
      </c>
      <c r="BG17" s="36">
        <v>5.1232670000000001E-10</v>
      </c>
      <c r="BH17" s="36">
        <v>5.1222669999999998E-10</v>
      </c>
      <c r="BI17">
        <v>5.1399999999999998E-10</v>
      </c>
      <c r="BJ17">
        <v>5.1350420000000003E-10</v>
      </c>
      <c r="BK17">
        <v>5.1360169999999999E-10</v>
      </c>
      <c r="BL17">
        <v>5.1327079999999997E-10</v>
      </c>
      <c r="BM17">
        <v>5.1349580000000004E-10</v>
      </c>
      <c r="BN17" s="36">
        <v>5.1383419999999997E-10</v>
      </c>
      <c r="BO17" s="36">
        <v>5.1342329999999999E-10</v>
      </c>
      <c r="BP17" s="36">
        <v>5.1352E-10</v>
      </c>
      <c r="BQ17" s="36">
        <v>5.1357919999999995E-10</v>
      </c>
      <c r="BR17" s="36">
        <v>5.1325670000000003E-10</v>
      </c>
    </row>
    <row r="18" spans="1:70" x14ac:dyDescent="0.15">
      <c r="A18">
        <v>5.1206830000000005E-10</v>
      </c>
      <c r="B18">
        <v>5.1147669999999996E-10</v>
      </c>
      <c r="C18">
        <v>5.1165999999999997E-10</v>
      </c>
      <c r="D18">
        <v>5.1191000000000004E-10</v>
      </c>
      <c r="E18">
        <v>5.115683E-10</v>
      </c>
      <c r="F18" s="36">
        <v>5.1024330000000001E-10</v>
      </c>
      <c r="G18" s="36">
        <v>5.0999330000000003E-10</v>
      </c>
      <c r="H18" s="36">
        <v>5.105683E-10</v>
      </c>
      <c r="I18" s="36">
        <v>5.1029330000000002E-10</v>
      </c>
      <c r="J18" s="36">
        <v>5.1000999999999998E-10</v>
      </c>
      <c r="K18">
        <v>5.1007670000000004E-10</v>
      </c>
      <c r="L18">
        <v>5.0965170000000002E-10</v>
      </c>
      <c r="M18">
        <v>5.1013500000000002E-10</v>
      </c>
      <c r="N18">
        <v>5.0966830000000004E-10</v>
      </c>
      <c r="O18">
        <v>5.0960999999999996E-10</v>
      </c>
      <c r="P18" s="36">
        <v>5.1014329999999997E-10</v>
      </c>
      <c r="Q18" s="36">
        <v>5.0957669999999999E-10</v>
      </c>
      <c r="R18" s="36">
        <v>5.0951000000000003E-10</v>
      </c>
      <c r="S18" s="36">
        <v>5.1009329999999996E-10</v>
      </c>
      <c r="T18" s="36">
        <v>5.0951000000000003E-10</v>
      </c>
      <c r="U18">
        <v>5.1007670000000004E-10</v>
      </c>
      <c r="V18">
        <v>5.0938499999999999E-10</v>
      </c>
      <c r="W18">
        <v>5.0977669999999995E-10</v>
      </c>
      <c r="X18">
        <v>5.0961830000000002E-10</v>
      </c>
      <c r="Y18">
        <v>5.0941829999999996E-10</v>
      </c>
      <c r="Z18" s="36">
        <v>5.1021000000000004E-10</v>
      </c>
      <c r="AA18" s="36">
        <v>5.0941E-10</v>
      </c>
      <c r="AB18" s="36">
        <v>5.0939329999999995E-10</v>
      </c>
      <c r="AC18" s="36">
        <v>5.0963499999999997E-10</v>
      </c>
      <c r="AD18" s="36">
        <v>5.0976000000000001E-10</v>
      </c>
      <c r="AE18">
        <v>5.1047669999999996E-10</v>
      </c>
      <c r="AF18">
        <v>5.0994330000000002E-10</v>
      </c>
      <c r="AG18">
        <v>5.0943500000000001E-10</v>
      </c>
      <c r="AH18">
        <v>5.1001830000000004E-10</v>
      </c>
      <c r="AI18">
        <v>5.09735E-10</v>
      </c>
      <c r="AJ18" s="36">
        <v>5.1056000000000004E-10</v>
      </c>
      <c r="AK18" s="36">
        <v>5.1013500000000002E-10</v>
      </c>
      <c r="AL18" s="36">
        <v>5.1034330000000004E-10</v>
      </c>
      <c r="AM18" s="36">
        <v>5.1107670000000004E-10</v>
      </c>
      <c r="AN18" s="36">
        <v>5.1095999999999996E-10</v>
      </c>
      <c r="AO18">
        <v>5.0840170000000005E-10</v>
      </c>
      <c r="AP18">
        <v>5.082517E-10</v>
      </c>
      <c r="AQ18">
        <v>5.0780169999999997E-10</v>
      </c>
      <c r="AR18">
        <v>5.078683E-10</v>
      </c>
      <c r="AS18">
        <v>5.0780169999999997E-10</v>
      </c>
      <c r="AT18" s="36">
        <v>5.1006829999999995E-10</v>
      </c>
      <c r="AU18" s="36">
        <v>5.0949329999999998E-10</v>
      </c>
      <c r="AV18" s="36">
        <v>5.0944329999999997E-10</v>
      </c>
      <c r="AW18" s="36">
        <v>5.0979329999999997E-10</v>
      </c>
      <c r="AX18" s="36">
        <v>5.0960999999999996E-10</v>
      </c>
      <c r="AY18">
        <v>5.1201830000000003E-10</v>
      </c>
      <c r="AZ18">
        <v>5.1164330000000002E-10</v>
      </c>
      <c r="BA18">
        <v>5.116017E-10</v>
      </c>
      <c r="BB18">
        <v>5.1153500000000003E-10</v>
      </c>
      <c r="BC18">
        <v>5.1138499999999999E-10</v>
      </c>
      <c r="BD18" s="36">
        <v>5.1275920000000005E-10</v>
      </c>
      <c r="BE18" s="36">
        <v>5.1256829999999999E-10</v>
      </c>
      <c r="BF18" s="36">
        <v>5.1226000000000005E-10</v>
      </c>
      <c r="BG18" s="36">
        <v>5.1248500000000001E-10</v>
      </c>
      <c r="BH18" s="36">
        <v>5.1215169999999996E-10</v>
      </c>
      <c r="BI18">
        <v>5.1350329999999995E-10</v>
      </c>
      <c r="BJ18">
        <v>5.1319080000000001E-10</v>
      </c>
      <c r="BK18">
        <v>5.1330579999999996E-10</v>
      </c>
      <c r="BL18">
        <v>5.1306830000000004E-10</v>
      </c>
      <c r="BM18">
        <v>5.1325830000000002E-10</v>
      </c>
      <c r="BN18" s="36">
        <v>5.1383500000000001E-10</v>
      </c>
      <c r="BO18" s="36">
        <v>5.133708E-10</v>
      </c>
      <c r="BP18" s="36">
        <v>5.1329829999999995E-10</v>
      </c>
      <c r="BQ18" s="36">
        <v>5.1328170000000004E-10</v>
      </c>
      <c r="BR18" s="36">
        <v>5.1343749999999997E-10</v>
      </c>
    </row>
    <row r="19" spans="1:70" x14ac:dyDescent="0.15">
      <c r="A19">
        <v>5.1199330000000003E-10</v>
      </c>
      <c r="B19">
        <v>5.116267E-10</v>
      </c>
      <c r="C19">
        <v>5.1186829999999999E-10</v>
      </c>
      <c r="D19">
        <v>5.1181829999999997E-10</v>
      </c>
      <c r="E19">
        <v>5.1170999999999998E-10</v>
      </c>
      <c r="F19" s="36">
        <v>5.1039330000000005E-10</v>
      </c>
      <c r="G19" s="36">
        <v>5.1010169999999995E-10</v>
      </c>
      <c r="H19" s="36">
        <v>5.1023500000000005E-10</v>
      </c>
      <c r="I19" s="36">
        <v>5.1011829999999997E-10</v>
      </c>
      <c r="J19" s="36">
        <v>5.1025169999999999E-10</v>
      </c>
      <c r="K19">
        <v>5.1015169999999996E-10</v>
      </c>
      <c r="L19">
        <v>5.0976000000000001E-10</v>
      </c>
      <c r="M19">
        <v>5.09735E-10</v>
      </c>
      <c r="N19">
        <v>5.1005999999999999E-10</v>
      </c>
      <c r="O19">
        <v>5.0986000000000004E-10</v>
      </c>
      <c r="P19" s="36">
        <v>5.1030170000000001E-10</v>
      </c>
      <c r="Q19" s="36">
        <v>5.0981829999999998E-10</v>
      </c>
      <c r="R19" s="36">
        <v>5.0962670000000001E-10</v>
      </c>
      <c r="S19" s="36">
        <v>5.0945169999999996E-10</v>
      </c>
      <c r="T19" s="36">
        <v>5.0951829999999999E-10</v>
      </c>
      <c r="U19">
        <v>5.1016000000000003E-10</v>
      </c>
      <c r="V19">
        <v>5.0946000000000002E-10</v>
      </c>
      <c r="W19">
        <v>5.0971830000000005E-10</v>
      </c>
      <c r="X19">
        <v>5.0959330000000001E-10</v>
      </c>
      <c r="Y19">
        <v>5.0970170000000003E-10</v>
      </c>
      <c r="Z19" s="36">
        <v>5.0988500000000004E-10</v>
      </c>
      <c r="AA19" s="36">
        <v>5.0959330000000001E-10</v>
      </c>
      <c r="AB19" s="36">
        <v>5.0927670000000001E-10</v>
      </c>
      <c r="AC19" s="36">
        <v>5.0940170000000004E-10</v>
      </c>
      <c r="AD19" s="36">
        <v>5.0974329999999996E-10</v>
      </c>
      <c r="AE19">
        <v>5.1025999999999995E-10</v>
      </c>
      <c r="AF19">
        <v>5.0995999999999996E-10</v>
      </c>
      <c r="AG19">
        <v>5.0986829999999999E-10</v>
      </c>
      <c r="AH19">
        <v>5.0981000000000002E-10</v>
      </c>
      <c r="AI19">
        <v>5.0972670000000004E-10</v>
      </c>
      <c r="AJ19" s="36">
        <v>5.1075170000000004E-10</v>
      </c>
      <c r="AK19" s="36">
        <v>5.1037670000000003E-10</v>
      </c>
      <c r="AL19" s="36">
        <v>5.1025169999999999E-10</v>
      </c>
      <c r="AM19" s="36">
        <v>5.1023500000000005E-10</v>
      </c>
      <c r="AN19" s="36">
        <v>5.1028499999999996E-10</v>
      </c>
      <c r="AO19">
        <v>5.0864330000000003E-10</v>
      </c>
      <c r="AP19">
        <v>5.0803499999999999E-10</v>
      </c>
      <c r="AQ19">
        <v>5.0831830000000004E-10</v>
      </c>
      <c r="AR19">
        <v>5.0806829999999996E-10</v>
      </c>
      <c r="AS19">
        <v>5.0806829999999996E-10</v>
      </c>
      <c r="AT19" s="36">
        <v>5.1022669999999999E-10</v>
      </c>
      <c r="AU19" s="36">
        <v>5.0976000000000001E-10</v>
      </c>
      <c r="AV19" s="36">
        <v>5.0975170000000005E-10</v>
      </c>
      <c r="AW19" s="36">
        <v>5.0950169999999997E-10</v>
      </c>
      <c r="AX19" s="36">
        <v>5.0967670000000003E-10</v>
      </c>
      <c r="AY19">
        <v>5.1216000000000002E-10</v>
      </c>
      <c r="AZ19">
        <v>5.1142670000000005E-10</v>
      </c>
      <c r="BA19">
        <v>5.1151000000000003E-10</v>
      </c>
      <c r="BB19">
        <v>5.116267E-10</v>
      </c>
      <c r="BC19">
        <v>5.115683E-10</v>
      </c>
      <c r="BD19" s="36">
        <v>5.1263499999999996E-10</v>
      </c>
      <c r="BE19" s="36">
        <v>5.1246000000000001E-10</v>
      </c>
      <c r="BF19" s="36">
        <v>5.1206830000000005E-10</v>
      </c>
      <c r="BG19" s="36">
        <v>5.1255169999999998E-10</v>
      </c>
      <c r="BH19" s="36">
        <v>5.1218500000000003E-10</v>
      </c>
      <c r="BI19">
        <v>5.137425E-10</v>
      </c>
      <c r="BJ19">
        <v>5.1295999999999995E-10</v>
      </c>
      <c r="BK19">
        <v>5.1323999999999998E-10</v>
      </c>
      <c r="BL19">
        <v>5.1301579999999996E-10</v>
      </c>
      <c r="BM19">
        <v>5.1301749999999998E-10</v>
      </c>
      <c r="BN19" s="36">
        <v>5.1384169999999998E-10</v>
      </c>
      <c r="BO19" s="36">
        <v>5.1341330000000001E-10</v>
      </c>
      <c r="BP19" s="36">
        <v>5.1315750000000004E-10</v>
      </c>
      <c r="BQ19" s="36">
        <v>5.1346249999999997E-10</v>
      </c>
      <c r="BR19" s="36">
        <v>5.1310919999999995E-10</v>
      </c>
    </row>
    <row r="20" spans="1:70" x14ac:dyDescent="0.15">
      <c r="A20">
        <v>5.1178500000000001E-10</v>
      </c>
      <c r="B20">
        <v>5.1145169999999995E-10</v>
      </c>
      <c r="C20">
        <v>5.1188500000000004E-10</v>
      </c>
      <c r="D20">
        <v>5.1153500000000003E-10</v>
      </c>
      <c r="E20">
        <v>5.1140170000000004E-10</v>
      </c>
      <c r="F20" s="36">
        <v>5.1073499999999999E-10</v>
      </c>
      <c r="G20" s="36">
        <v>5.1017669999999997E-10</v>
      </c>
      <c r="H20" s="36">
        <v>5.1009329999999996E-10</v>
      </c>
      <c r="I20" s="36">
        <v>5.1018500000000003E-10</v>
      </c>
      <c r="J20" s="36">
        <v>5.1005999999999999E-10</v>
      </c>
      <c r="K20">
        <v>5.0994330000000002E-10</v>
      </c>
      <c r="L20">
        <v>5.1001830000000004E-10</v>
      </c>
      <c r="M20">
        <v>5.0969330000000004E-10</v>
      </c>
      <c r="N20">
        <v>5.0974329999999996E-10</v>
      </c>
      <c r="O20">
        <v>5.0995999999999996E-10</v>
      </c>
      <c r="P20" s="36">
        <v>5.1011000000000001E-10</v>
      </c>
      <c r="Q20" s="36">
        <v>5.0953500000000004E-10</v>
      </c>
      <c r="R20" s="36">
        <v>5.0986829999999999E-10</v>
      </c>
      <c r="S20" s="36">
        <v>5.0998499999999997E-10</v>
      </c>
      <c r="T20" s="36">
        <v>5.0970170000000003E-10</v>
      </c>
      <c r="U20">
        <v>5.0995999999999996E-10</v>
      </c>
      <c r="V20">
        <v>5.0976829999999996E-10</v>
      </c>
      <c r="W20">
        <v>5.0978500000000001E-10</v>
      </c>
      <c r="X20">
        <v>5.0956000000000005E-10</v>
      </c>
      <c r="Y20">
        <v>5.09735E-10</v>
      </c>
      <c r="Z20" s="36">
        <v>5.1013500000000002E-10</v>
      </c>
      <c r="AA20" s="36">
        <v>5.0941829999999996E-10</v>
      </c>
      <c r="AB20" s="36">
        <v>5.0945169999999996E-10</v>
      </c>
      <c r="AC20" s="36">
        <v>5.0950169999999997E-10</v>
      </c>
      <c r="AD20" s="36">
        <v>5.0904330000000005E-10</v>
      </c>
      <c r="AE20">
        <v>5.1044329999999996E-10</v>
      </c>
      <c r="AF20">
        <v>5.0995170000000001E-10</v>
      </c>
      <c r="AG20">
        <v>5.0970170000000003E-10</v>
      </c>
      <c r="AH20">
        <v>5.0996830000000002E-10</v>
      </c>
      <c r="AI20">
        <v>5.0986000000000004E-10</v>
      </c>
      <c r="AJ20" s="36">
        <v>5.1046829999999997E-10</v>
      </c>
      <c r="AK20" s="36">
        <v>5.1013500000000002E-10</v>
      </c>
      <c r="AL20" s="36">
        <v>5.1013500000000002E-10</v>
      </c>
      <c r="AM20" s="36">
        <v>5.1046000000000001E-10</v>
      </c>
      <c r="AN20" s="36">
        <v>5.1017669999999997E-10</v>
      </c>
      <c r="AO20">
        <v>5.0855169999999999E-10</v>
      </c>
      <c r="AP20">
        <v>5.0839329999999995E-10</v>
      </c>
      <c r="AQ20">
        <v>5.0839329999999995E-10</v>
      </c>
      <c r="AR20">
        <v>5.0816000000000003E-10</v>
      </c>
      <c r="AS20">
        <v>5.0839329999999995E-10</v>
      </c>
      <c r="AT20" s="36">
        <v>5.1016829999999998E-10</v>
      </c>
      <c r="AU20" s="36">
        <v>5.0964330000000003E-10</v>
      </c>
      <c r="AV20" s="36">
        <v>5.0976829999999996E-10</v>
      </c>
      <c r="AW20" s="36">
        <v>5.0990999999999995E-10</v>
      </c>
      <c r="AX20" s="36">
        <v>5.0986000000000004E-10</v>
      </c>
      <c r="AY20">
        <v>5.1203499999999998E-10</v>
      </c>
      <c r="AZ20">
        <v>5.1169330000000004E-10</v>
      </c>
      <c r="BA20">
        <v>5.1147669999999996E-10</v>
      </c>
      <c r="BB20">
        <v>5.115683E-10</v>
      </c>
      <c r="BC20">
        <v>5.1150169999999996E-10</v>
      </c>
      <c r="BD20" s="36">
        <v>5.1285749999999995E-10</v>
      </c>
      <c r="BE20" s="36">
        <v>5.1213500000000001E-10</v>
      </c>
      <c r="BF20" s="36">
        <v>5.12435E-10</v>
      </c>
      <c r="BG20" s="36">
        <v>5.1200170000000001E-10</v>
      </c>
      <c r="BH20" s="36">
        <v>5.1202670000000002E-10</v>
      </c>
      <c r="BI20">
        <v>5.1334750000000002E-10</v>
      </c>
      <c r="BJ20">
        <v>5.1309169999999996E-10</v>
      </c>
      <c r="BK20">
        <v>5.1299330000000002E-10</v>
      </c>
      <c r="BL20">
        <v>5.128917E-10</v>
      </c>
      <c r="BM20">
        <v>5.1300080000000003E-10</v>
      </c>
      <c r="BN20" s="36">
        <v>5.1397499999999998E-10</v>
      </c>
      <c r="BO20" s="36">
        <v>5.1354500000000001E-10</v>
      </c>
      <c r="BP20" s="36">
        <v>5.1334750000000002E-10</v>
      </c>
      <c r="BQ20" s="36">
        <v>5.1308329999999997E-10</v>
      </c>
      <c r="BR20" s="36">
        <v>5.1314000000000005E-10</v>
      </c>
    </row>
    <row r="21" spans="1:70" x14ac:dyDescent="0.15">
      <c r="A21">
        <v>5.1161830000000001E-10</v>
      </c>
      <c r="B21">
        <v>5.1125999999999995E-10</v>
      </c>
      <c r="C21">
        <v>5.1125999999999995E-10</v>
      </c>
      <c r="D21">
        <v>5.1166830000000003E-10</v>
      </c>
      <c r="E21">
        <v>5.1135170000000002E-10</v>
      </c>
      <c r="F21" s="36">
        <v>5.1033499999999998E-10</v>
      </c>
      <c r="G21" s="36">
        <v>5.1011000000000001E-10</v>
      </c>
      <c r="H21" s="36">
        <v>5.1015169999999996E-10</v>
      </c>
      <c r="I21" s="36">
        <v>5.0977669999999995E-10</v>
      </c>
      <c r="J21" s="36">
        <v>5.0994330000000002E-10</v>
      </c>
      <c r="K21">
        <v>5.1003499999999999E-10</v>
      </c>
      <c r="L21">
        <v>5.0994330000000002E-10</v>
      </c>
      <c r="M21">
        <v>5.0998499999999997E-10</v>
      </c>
      <c r="N21">
        <v>5.1018500000000003E-10</v>
      </c>
      <c r="O21">
        <v>5.0976829999999996E-10</v>
      </c>
      <c r="P21" s="36">
        <v>5.1009329999999996E-10</v>
      </c>
      <c r="Q21" s="36">
        <v>5.1015169999999996E-10</v>
      </c>
      <c r="R21" s="36">
        <v>5.0962670000000001E-10</v>
      </c>
      <c r="S21" s="36">
        <v>5.0984329999999999E-10</v>
      </c>
      <c r="T21" s="36">
        <v>5.0979329999999997E-10</v>
      </c>
      <c r="U21">
        <v>5.102767E-10</v>
      </c>
      <c r="V21">
        <v>5.0963499999999997E-10</v>
      </c>
      <c r="W21">
        <v>5.0967670000000003E-10</v>
      </c>
      <c r="X21">
        <v>5.0965999999999998E-10</v>
      </c>
      <c r="Y21">
        <v>5.0951829999999999E-10</v>
      </c>
      <c r="Z21" s="36">
        <v>5.0983500000000003E-10</v>
      </c>
      <c r="AA21" s="36">
        <v>5.0922669999999999E-10</v>
      </c>
      <c r="AB21" s="36">
        <v>5.0951829999999999E-10</v>
      </c>
      <c r="AC21" s="36">
        <v>5.0945169999999996E-10</v>
      </c>
      <c r="AD21" s="36">
        <v>5.092183E-10</v>
      </c>
      <c r="AE21">
        <v>5.1029330000000002E-10</v>
      </c>
      <c r="AF21">
        <v>5.1006829999999995E-10</v>
      </c>
      <c r="AG21">
        <v>5.0993499999999996E-10</v>
      </c>
      <c r="AH21">
        <v>5.0981000000000002E-10</v>
      </c>
      <c r="AI21">
        <v>5.0968499999999998E-10</v>
      </c>
      <c r="AJ21" s="36">
        <v>5.1076829999999996E-10</v>
      </c>
      <c r="AK21" s="36">
        <v>5.1046829999999997E-10</v>
      </c>
      <c r="AL21" s="36">
        <v>5.1036830000000004E-10</v>
      </c>
      <c r="AM21" s="36">
        <v>5.0991830000000001E-10</v>
      </c>
      <c r="AN21" s="36">
        <v>5.1042670000000005E-10</v>
      </c>
      <c r="AO21">
        <v>5.0864330000000003E-10</v>
      </c>
      <c r="AP21">
        <v>5.0841000000000001E-10</v>
      </c>
      <c r="AQ21">
        <v>5.0853500000000004E-10</v>
      </c>
      <c r="AR21">
        <v>5.085433E-10</v>
      </c>
      <c r="AS21">
        <v>5.0842669999999995E-10</v>
      </c>
      <c r="AT21" s="36">
        <v>5.1006829999999995E-10</v>
      </c>
      <c r="AU21" s="36">
        <v>5.0970999999999999E-10</v>
      </c>
      <c r="AV21" s="36">
        <v>5.0964330000000003E-10</v>
      </c>
      <c r="AW21" s="36">
        <v>5.0942669999999995E-10</v>
      </c>
      <c r="AX21" s="36">
        <v>5.0980169999999996E-10</v>
      </c>
      <c r="AY21">
        <v>5.1198499999999996E-10</v>
      </c>
      <c r="AZ21">
        <v>5.1145169999999995E-10</v>
      </c>
      <c r="BA21">
        <v>5.1152669999999997E-10</v>
      </c>
      <c r="BB21">
        <v>5.1147669999999996E-10</v>
      </c>
      <c r="BC21">
        <v>5.1095999999999996E-10</v>
      </c>
      <c r="BD21" s="36">
        <v>5.1265999999999996E-10</v>
      </c>
      <c r="BE21" s="36">
        <v>5.123017E-10</v>
      </c>
      <c r="BF21" s="36">
        <v>5.1213500000000001E-10</v>
      </c>
      <c r="BG21" s="36">
        <v>5.1209329999999995E-10</v>
      </c>
      <c r="BH21" s="36">
        <v>5.1226830000000001E-10</v>
      </c>
      <c r="BI21">
        <v>5.1346249999999997E-10</v>
      </c>
      <c r="BJ21">
        <v>5.1293500000000005E-10</v>
      </c>
      <c r="BK21">
        <v>5.1296830000000001E-10</v>
      </c>
      <c r="BL21">
        <v>5.1266830000000003E-10</v>
      </c>
      <c r="BM21">
        <v>5.1286829999999998E-10</v>
      </c>
      <c r="BN21" s="36">
        <v>5.1373420000000004E-10</v>
      </c>
      <c r="BO21" s="36">
        <v>5.1305829999999996E-10</v>
      </c>
      <c r="BP21" s="36">
        <v>5.1298330000000004E-10</v>
      </c>
      <c r="BQ21" s="36">
        <v>5.1295999999999995E-10</v>
      </c>
      <c r="BR21" s="36">
        <v>5.1280079999999997E-10</v>
      </c>
    </row>
    <row r="22" spans="1:70" x14ac:dyDescent="0.15">
      <c r="A22">
        <v>5.1170999999999998E-10</v>
      </c>
      <c r="B22">
        <v>5.1125999999999995E-10</v>
      </c>
      <c r="C22">
        <v>5.1122669999999998E-10</v>
      </c>
      <c r="D22">
        <v>5.1125999999999995E-10</v>
      </c>
      <c r="E22">
        <v>5.1121829999999999E-10</v>
      </c>
      <c r="F22" s="36">
        <v>5.1037670000000003E-10</v>
      </c>
      <c r="G22" s="36">
        <v>5.0976000000000001E-10</v>
      </c>
      <c r="H22" s="36">
        <v>5.0975170000000005E-10</v>
      </c>
      <c r="I22" s="36">
        <v>5.1019329999999999E-10</v>
      </c>
      <c r="J22" s="36">
        <v>5.1095730000000003E-10</v>
      </c>
      <c r="K22">
        <v>5.1011000000000001E-10</v>
      </c>
      <c r="L22">
        <v>5.1001830000000004E-10</v>
      </c>
      <c r="M22">
        <v>5.0996830000000002E-10</v>
      </c>
      <c r="N22">
        <v>5.1002670000000003E-10</v>
      </c>
      <c r="O22">
        <v>5.0988500000000004E-10</v>
      </c>
      <c r="P22" s="36">
        <v>5.1011829999999997E-10</v>
      </c>
      <c r="Q22" s="36">
        <v>5.0994330000000002E-10</v>
      </c>
      <c r="R22" s="36">
        <v>5.1025999999999995E-10</v>
      </c>
      <c r="S22" s="36">
        <v>5.1021000000000004E-10</v>
      </c>
      <c r="T22" s="36">
        <v>5.0980169999999996E-10</v>
      </c>
      <c r="U22">
        <v>5.102183E-10</v>
      </c>
      <c r="V22">
        <v>5.0976000000000001E-10</v>
      </c>
      <c r="W22">
        <v>5.0965999999999998E-10</v>
      </c>
      <c r="X22">
        <v>5.09735E-10</v>
      </c>
      <c r="Y22">
        <v>5.096017E-10</v>
      </c>
      <c r="Z22" s="36">
        <v>5.1002670000000003E-10</v>
      </c>
      <c r="AA22" s="36">
        <v>5.0955169999999999E-10</v>
      </c>
      <c r="AB22" s="36">
        <v>5.0941E-10</v>
      </c>
      <c r="AC22" s="36">
        <v>5.0911829999999997E-10</v>
      </c>
      <c r="AD22" s="36">
        <v>5.0937670000000004E-10</v>
      </c>
      <c r="AE22">
        <v>5.1046000000000001E-10</v>
      </c>
      <c r="AF22">
        <v>5.0986829999999999E-10</v>
      </c>
      <c r="AG22">
        <v>5.0941829999999996E-10</v>
      </c>
      <c r="AH22">
        <v>5.0986829999999999E-10</v>
      </c>
      <c r="AI22">
        <v>5.0952669999999998E-10</v>
      </c>
      <c r="AJ22" s="36">
        <v>5.1065170000000001E-10</v>
      </c>
      <c r="AK22" s="36">
        <v>5.1030170000000001E-10</v>
      </c>
      <c r="AL22" s="36">
        <v>5.0995999999999996E-10</v>
      </c>
      <c r="AM22" s="36">
        <v>5.1028499999999996E-10</v>
      </c>
      <c r="AN22" s="36">
        <v>5.1004330000000005E-10</v>
      </c>
      <c r="AO22">
        <v>5.0876829999999997E-10</v>
      </c>
      <c r="AP22">
        <v>5.0826830000000002E-10</v>
      </c>
      <c r="AQ22">
        <v>5.0851000000000004E-10</v>
      </c>
      <c r="AR22">
        <v>5.0833499999999998E-10</v>
      </c>
      <c r="AS22">
        <v>5.0827670000000001E-10</v>
      </c>
      <c r="AT22" s="36">
        <v>5.1016829999999998E-10</v>
      </c>
      <c r="AU22" s="36">
        <v>5.0977669999999995E-10</v>
      </c>
      <c r="AV22" s="36">
        <v>5.1013500000000002E-10</v>
      </c>
      <c r="AW22" s="36">
        <v>5.0987669999999998E-10</v>
      </c>
      <c r="AX22" s="36">
        <v>5.0987669999999998E-10</v>
      </c>
      <c r="AY22">
        <v>5.1188500000000004E-10</v>
      </c>
      <c r="AZ22">
        <v>5.1149329999999998E-10</v>
      </c>
      <c r="BA22">
        <v>5.1137670000000003E-10</v>
      </c>
      <c r="BB22">
        <v>5.1153500000000003E-10</v>
      </c>
      <c r="BC22">
        <v>5.1133499999999997E-10</v>
      </c>
      <c r="BD22" s="36">
        <v>5.1282669999999996E-10</v>
      </c>
      <c r="BE22" s="36">
        <v>5.1211E-10</v>
      </c>
      <c r="BF22" s="36">
        <v>5.1207670000000004E-10</v>
      </c>
      <c r="BG22" s="36">
        <v>5.1226830000000001E-10</v>
      </c>
      <c r="BH22" s="36">
        <v>5.1235999999999998E-10</v>
      </c>
      <c r="BI22">
        <v>5.1345249999999999E-10</v>
      </c>
      <c r="BJ22">
        <v>5.1298499999999996E-10</v>
      </c>
      <c r="BK22">
        <v>5.1306579999999997E-10</v>
      </c>
      <c r="BL22">
        <v>5.1274330000000005E-10</v>
      </c>
      <c r="BM22">
        <v>5.1283419999999997E-10</v>
      </c>
      <c r="BN22" s="36">
        <v>5.1365999999999996E-10</v>
      </c>
      <c r="BO22" s="36">
        <v>5.1333919999999996E-10</v>
      </c>
      <c r="BP22" s="36">
        <v>5.1286829999999998E-10</v>
      </c>
      <c r="BQ22" s="36">
        <v>5.1334000000000001E-10</v>
      </c>
      <c r="BR22" s="36">
        <v>5.1288500000000003E-10</v>
      </c>
    </row>
    <row r="23" spans="1:70" x14ac:dyDescent="0.15">
      <c r="A23">
        <v>5.1160999999999995E-10</v>
      </c>
      <c r="B23">
        <v>5.1145169999999995E-10</v>
      </c>
      <c r="C23">
        <v>5.1148500000000002E-10</v>
      </c>
      <c r="D23">
        <v>5.1119329999999999E-10</v>
      </c>
      <c r="E23">
        <v>5.1118500000000003E-10</v>
      </c>
      <c r="F23" s="36">
        <v>5.1035170000000003E-10</v>
      </c>
      <c r="G23" s="36">
        <v>5.0991830000000001E-10</v>
      </c>
      <c r="H23" s="36">
        <v>5.0983500000000003E-10</v>
      </c>
      <c r="I23" s="36">
        <v>5.099267E-10</v>
      </c>
      <c r="J23" s="36">
        <v>5.0951829999999999E-10</v>
      </c>
      <c r="K23">
        <v>5.1046000000000001E-10</v>
      </c>
      <c r="L23">
        <v>5.1000170000000002E-10</v>
      </c>
      <c r="M23">
        <v>5.10085E-10</v>
      </c>
      <c r="N23">
        <v>5.0983500000000003E-10</v>
      </c>
      <c r="O23">
        <v>5.1012669999999996E-10</v>
      </c>
      <c r="P23" s="36">
        <v>5.1016000000000003E-10</v>
      </c>
      <c r="Q23" s="36">
        <v>5.0995999999999996E-10</v>
      </c>
      <c r="R23" s="36">
        <v>5.1002670000000003E-10</v>
      </c>
      <c r="S23" s="36">
        <v>5.0976829999999996E-10</v>
      </c>
      <c r="T23" s="36">
        <v>5.0961830000000002E-10</v>
      </c>
      <c r="U23">
        <v>5.1038499999999999E-10</v>
      </c>
      <c r="V23">
        <v>5.0961830000000002E-10</v>
      </c>
      <c r="W23">
        <v>5.0961830000000002E-10</v>
      </c>
      <c r="X23">
        <v>5.0966830000000004E-10</v>
      </c>
      <c r="Y23">
        <v>5.0976000000000001E-10</v>
      </c>
      <c r="Z23" s="36">
        <v>5.0978500000000001E-10</v>
      </c>
      <c r="AA23" s="36">
        <v>5.0946829999999997E-10</v>
      </c>
      <c r="AB23" s="36">
        <v>5.0914329999999998E-10</v>
      </c>
      <c r="AC23" s="36">
        <v>5.092517E-10</v>
      </c>
      <c r="AD23" s="36">
        <v>5.0909329999999996E-10</v>
      </c>
      <c r="AE23">
        <v>5.1029330000000002E-10</v>
      </c>
      <c r="AF23">
        <v>5.1005170000000004E-10</v>
      </c>
      <c r="AG23">
        <v>5.0990999999999995E-10</v>
      </c>
      <c r="AH23">
        <v>5.0959330000000001E-10</v>
      </c>
      <c r="AI23">
        <v>5.0963499999999997E-10</v>
      </c>
      <c r="AJ23" s="36">
        <v>5.1063499999999996E-10</v>
      </c>
      <c r="AK23" s="36">
        <v>5.1001830000000004E-10</v>
      </c>
      <c r="AL23" s="36">
        <v>5.1020169999999998E-10</v>
      </c>
      <c r="AM23" s="36">
        <v>5.1028499999999996E-10</v>
      </c>
      <c r="AN23" s="36">
        <v>5.1013500000000002E-10</v>
      </c>
      <c r="AO23">
        <v>5.0910169999999995E-10</v>
      </c>
      <c r="AP23">
        <v>5.08385E-10</v>
      </c>
      <c r="AQ23">
        <v>5.0852669999999998E-10</v>
      </c>
      <c r="AR23">
        <v>5.0841829999999996E-10</v>
      </c>
      <c r="AS23">
        <v>5.0847669999999997E-10</v>
      </c>
      <c r="AT23" s="36">
        <v>5.1022669999999999E-10</v>
      </c>
      <c r="AU23" s="36">
        <v>5.0950169999999997E-10</v>
      </c>
      <c r="AV23" s="36">
        <v>5.1004330000000005E-10</v>
      </c>
      <c r="AW23" s="36">
        <v>5.1011000000000001E-10</v>
      </c>
      <c r="AX23" s="36">
        <v>5.0991830000000001E-10</v>
      </c>
      <c r="AY23">
        <v>5.1175170000000004E-10</v>
      </c>
      <c r="AZ23">
        <v>5.1141829999999995E-10</v>
      </c>
      <c r="BA23">
        <v>5.112767E-10</v>
      </c>
      <c r="BB23">
        <v>5.1133499999999997E-10</v>
      </c>
      <c r="BC23">
        <v>5.1158500000000005E-10</v>
      </c>
      <c r="BD23" s="36">
        <v>5.1249329999999997E-10</v>
      </c>
      <c r="BE23" s="36">
        <v>5.1209329999999995E-10</v>
      </c>
      <c r="BF23" s="36">
        <v>5.1196830000000002E-10</v>
      </c>
      <c r="BG23" s="36">
        <v>5.1216000000000002E-10</v>
      </c>
      <c r="BH23" s="36">
        <v>5.1199330000000003E-10</v>
      </c>
      <c r="BI23">
        <v>5.1304330000000004E-10</v>
      </c>
      <c r="BJ23">
        <v>5.12785E-10</v>
      </c>
      <c r="BK23">
        <v>5.1295999999999995E-10</v>
      </c>
      <c r="BL23">
        <v>5.1261749999999996E-10</v>
      </c>
      <c r="BM23">
        <v>5.1268499999999997E-10</v>
      </c>
      <c r="BN23" s="36">
        <v>5.1375079999999995E-10</v>
      </c>
      <c r="BO23" s="36">
        <v>5.1320000000000005E-10</v>
      </c>
      <c r="BP23" s="36">
        <v>5.1312579999999997E-10</v>
      </c>
      <c r="BQ23" s="36">
        <v>5.1303499999999998E-10</v>
      </c>
      <c r="BR23" s="36">
        <v>5.1302670000000002E-10</v>
      </c>
    </row>
    <row r="24" spans="1:70" x14ac:dyDescent="0.15">
      <c r="A24">
        <v>5.1146000000000001E-10</v>
      </c>
      <c r="B24">
        <v>5.11085E-10</v>
      </c>
      <c r="C24">
        <v>5.1152669999999997E-10</v>
      </c>
      <c r="D24">
        <v>5.112433E-10</v>
      </c>
      <c r="E24">
        <v>5.1109329999999996E-10</v>
      </c>
      <c r="F24" s="36">
        <v>5.1021000000000004E-10</v>
      </c>
      <c r="G24" s="36">
        <v>5.1001830000000004E-10</v>
      </c>
      <c r="H24" s="36">
        <v>5.0965170000000002E-10</v>
      </c>
      <c r="I24" s="36">
        <v>5.0976000000000001E-10</v>
      </c>
      <c r="J24" s="36">
        <v>5.0983500000000003E-10</v>
      </c>
      <c r="K24">
        <v>5.1046000000000001E-10</v>
      </c>
      <c r="L24">
        <v>5.1011829999999997E-10</v>
      </c>
      <c r="M24">
        <v>5.0968499999999998E-10</v>
      </c>
      <c r="N24">
        <v>5.0999330000000003E-10</v>
      </c>
      <c r="O24">
        <v>5.1000999999999998E-10</v>
      </c>
      <c r="P24" s="36">
        <v>5.1005999999999999E-10</v>
      </c>
      <c r="Q24" s="36">
        <v>5.0994330000000002E-10</v>
      </c>
      <c r="R24" s="36">
        <v>5.0990169999999999E-10</v>
      </c>
      <c r="S24" s="36">
        <v>5.0998499999999997E-10</v>
      </c>
      <c r="T24" s="36">
        <v>5.0948500000000002E-10</v>
      </c>
      <c r="U24">
        <v>5.105683E-10</v>
      </c>
      <c r="V24">
        <v>5.0974329999999996E-10</v>
      </c>
      <c r="W24">
        <v>5.0970999999999999E-10</v>
      </c>
      <c r="X24">
        <v>5.0981000000000002E-10</v>
      </c>
      <c r="Y24">
        <v>5.0951829999999999E-10</v>
      </c>
      <c r="Z24" s="36">
        <v>5.0961830000000002E-10</v>
      </c>
      <c r="AA24" s="36">
        <v>5.0911000000000001E-10</v>
      </c>
      <c r="AB24" s="36">
        <v>5.0900999999999998E-10</v>
      </c>
      <c r="AC24" s="36">
        <v>5.0936830000000005E-10</v>
      </c>
      <c r="AD24" s="36">
        <v>5.0935999999999999E-10</v>
      </c>
      <c r="AE24">
        <v>5.1011000000000001E-10</v>
      </c>
      <c r="AF24">
        <v>5.0964330000000003E-10</v>
      </c>
      <c r="AG24">
        <v>5.0967670000000003E-10</v>
      </c>
      <c r="AH24">
        <v>5.0956000000000005E-10</v>
      </c>
      <c r="AI24">
        <v>5.0956000000000005E-10</v>
      </c>
      <c r="AJ24" s="36">
        <v>5.1069330000000004E-10</v>
      </c>
      <c r="AK24" s="36">
        <v>5.1019329999999999E-10</v>
      </c>
      <c r="AL24" s="36">
        <v>5.1016000000000003E-10</v>
      </c>
      <c r="AM24" s="36">
        <v>5.1037670000000003E-10</v>
      </c>
      <c r="AN24" s="36">
        <v>5.098933E-10</v>
      </c>
      <c r="AO24">
        <v>5.0923500000000005E-10</v>
      </c>
      <c r="AP24">
        <v>5.0861830000000002E-10</v>
      </c>
      <c r="AQ24">
        <v>5.0876000000000001E-10</v>
      </c>
      <c r="AR24">
        <v>5.0863499999999997E-10</v>
      </c>
      <c r="AS24">
        <v>5.0865170000000002E-10</v>
      </c>
      <c r="AT24" s="36">
        <v>5.1030999999999997E-10</v>
      </c>
      <c r="AU24" s="36">
        <v>5.1020169999999998E-10</v>
      </c>
      <c r="AV24" s="36">
        <v>5.0975170000000005E-10</v>
      </c>
      <c r="AW24" s="36">
        <v>5.0999330000000003E-10</v>
      </c>
      <c r="AX24" s="36">
        <v>5.1004330000000005E-10</v>
      </c>
      <c r="AY24">
        <v>5.1105720000000003E-10</v>
      </c>
      <c r="AZ24">
        <v>5.1126830000000001E-10</v>
      </c>
      <c r="BA24">
        <v>5.1128499999999996E-10</v>
      </c>
      <c r="BB24">
        <v>5.1121829999999999E-10</v>
      </c>
      <c r="BC24">
        <v>5.1125169999999999E-10</v>
      </c>
      <c r="BD24" s="36">
        <v>5.1231830000000002E-10</v>
      </c>
      <c r="BE24" s="36">
        <v>5.1200170000000001E-10</v>
      </c>
      <c r="BF24" s="36">
        <v>5.1167670000000002E-10</v>
      </c>
      <c r="BG24" s="36">
        <v>5.1201830000000003E-10</v>
      </c>
      <c r="BH24" s="36">
        <v>5.1176829999999996E-10</v>
      </c>
      <c r="BI24">
        <v>5.131567E-10</v>
      </c>
      <c r="BJ24">
        <v>5.1281669999999998E-10</v>
      </c>
      <c r="BK24">
        <v>5.1238499999999998E-10</v>
      </c>
      <c r="BL24">
        <v>5.1288419999999999E-10</v>
      </c>
      <c r="BM24">
        <v>5.1245170000000005E-10</v>
      </c>
      <c r="BN24" s="36">
        <v>5.1357079999999996E-10</v>
      </c>
      <c r="BO24" s="36">
        <v>5.1300170000000001E-10</v>
      </c>
      <c r="BP24" s="36">
        <v>5.1290169999999998E-10</v>
      </c>
      <c r="BQ24" s="36">
        <v>5.1272670000000003E-10</v>
      </c>
      <c r="BR24" s="36">
        <v>5.12785E-10</v>
      </c>
    </row>
    <row r="25" spans="1:70" x14ac:dyDescent="0.15">
      <c r="A25">
        <v>5.1186829999999999E-10</v>
      </c>
      <c r="B25">
        <v>5.1100170000000002E-10</v>
      </c>
      <c r="C25">
        <v>5.1140170000000004E-10</v>
      </c>
      <c r="D25">
        <v>5.1125999999999995E-10</v>
      </c>
      <c r="E25">
        <v>5.1135170000000002E-10</v>
      </c>
      <c r="F25" s="36">
        <v>5.1028499999999996E-10</v>
      </c>
      <c r="G25" s="36">
        <v>5.0971830000000005E-10</v>
      </c>
      <c r="H25" s="36">
        <v>5.1021000000000004E-10</v>
      </c>
      <c r="I25" s="36">
        <v>5.0987669999999998E-10</v>
      </c>
      <c r="J25" s="36">
        <v>5.0978500000000001E-10</v>
      </c>
      <c r="K25">
        <v>5.1051829999999999E-10</v>
      </c>
      <c r="L25">
        <v>5.1006829999999995E-10</v>
      </c>
      <c r="M25">
        <v>5.0986829999999999E-10</v>
      </c>
      <c r="N25">
        <v>5.0996830000000002E-10</v>
      </c>
      <c r="O25">
        <v>5.0997670000000001E-10</v>
      </c>
      <c r="P25" s="36">
        <v>5.1026830000000001E-10</v>
      </c>
      <c r="Q25" s="36">
        <v>5.0987669999999998E-10</v>
      </c>
      <c r="R25" s="36">
        <v>5.0971830000000005E-10</v>
      </c>
      <c r="S25" s="36">
        <v>5.0980169999999996E-10</v>
      </c>
      <c r="T25" s="36">
        <v>5.0941E-10</v>
      </c>
      <c r="U25">
        <v>5.1028499999999996E-10</v>
      </c>
      <c r="V25">
        <v>5.0994330000000002E-10</v>
      </c>
      <c r="W25">
        <v>5.0962670000000001E-10</v>
      </c>
      <c r="X25">
        <v>5.09735E-10</v>
      </c>
      <c r="Y25">
        <v>5.0940170000000004E-10</v>
      </c>
      <c r="Z25" s="36">
        <v>5.0965170000000002E-10</v>
      </c>
      <c r="AA25" s="36">
        <v>5.0935999999999999E-10</v>
      </c>
      <c r="AB25" s="36">
        <v>5.0941829999999996E-10</v>
      </c>
      <c r="AC25" s="36">
        <v>5.0950169999999997E-10</v>
      </c>
      <c r="AD25" s="36">
        <v>5.0916829999999999E-10</v>
      </c>
      <c r="AE25">
        <v>5.1021000000000004E-10</v>
      </c>
      <c r="AF25">
        <v>5.0999330000000003E-10</v>
      </c>
      <c r="AG25">
        <v>5.0952669999999998E-10</v>
      </c>
      <c r="AH25">
        <v>5.0940170000000004E-10</v>
      </c>
      <c r="AI25">
        <v>5.0944329999999997E-10</v>
      </c>
      <c r="AJ25" s="36">
        <v>5.1075170000000004E-10</v>
      </c>
      <c r="AK25" s="36">
        <v>5.1034330000000004E-10</v>
      </c>
      <c r="AL25" s="36">
        <v>5.1020169999999998E-10</v>
      </c>
      <c r="AM25" s="36">
        <v>5.1029330000000002E-10</v>
      </c>
      <c r="AN25" s="36">
        <v>5.102767E-10</v>
      </c>
      <c r="AO25">
        <v>5.0908500000000001E-10</v>
      </c>
      <c r="AP25">
        <v>5.0876829999999997E-10</v>
      </c>
      <c r="AQ25">
        <v>5.0878500000000002E-10</v>
      </c>
      <c r="AR25">
        <v>5.0882669999999997E-10</v>
      </c>
      <c r="AS25">
        <v>5.0886000000000004E-10</v>
      </c>
      <c r="AT25" s="36">
        <v>5.1028499999999996E-10</v>
      </c>
      <c r="AU25" s="36">
        <v>5.0999330000000003E-10</v>
      </c>
      <c r="AV25" s="36">
        <v>5.1016829999999998E-10</v>
      </c>
      <c r="AW25" s="36">
        <v>5.1013500000000002E-10</v>
      </c>
      <c r="AX25" s="36">
        <v>5.0999330000000003E-10</v>
      </c>
      <c r="AY25">
        <v>5.1142670000000005E-10</v>
      </c>
      <c r="AZ25">
        <v>5.1156000000000004E-10</v>
      </c>
      <c r="BA25">
        <v>5.1116829999999998E-10</v>
      </c>
      <c r="BB25">
        <v>5.1116829999999998E-10</v>
      </c>
      <c r="BC25">
        <v>5.1134330000000003E-10</v>
      </c>
      <c r="BD25" s="36">
        <v>5.122767E-10</v>
      </c>
      <c r="BE25" s="36">
        <v>5.1172670000000003E-10</v>
      </c>
      <c r="BF25" s="36">
        <v>5.1185169999999997E-10</v>
      </c>
      <c r="BG25" s="36">
        <v>5.1168499999999998E-10</v>
      </c>
      <c r="BH25" s="36">
        <v>5.1165999999999997E-10</v>
      </c>
      <c r="BI25">
        <v>5.1309919999999997E-10</v>
      </c>
      <c r="BJ25">
        <v>5.1247669999999995E-10</v>
      </c>
      <c r="BK25">
        <v>5.1228499999999995E-10</v>
      </c>
      <c r="BL25">
        <v>5.1255169999999998E-10</v>
      </c>
      <c r="BM25">
        <v>5.1234330000000003E-10</v>
      </c>
      <c r="BN25" s="36">
        <v>5.1350420000000003E-10</v>
      </c>
      <c r="BO25" s="36">
        <v>5.1256829999999999E-10</v>
      </c>
      <c r="BP25" s="36">
        <v>5.1283500000000002E-10</v>
      </c>
      <c r="BQ25" s="36">
        <v>5.1281829999999997E-10</v>
      </c>
      <c r="BR25" s="36">
        <v>5.1275079999999996E-10</v>
      </c>
    </row>
    <row r="26" spans="1:70" x14ac:dyDescent="0.15">
      <c r="A26">
        <v>5.1160999999999995E-10</v>
      </c>
      <c r="B26">
        <v>5.1128499999999996E-10</v>
      </c>
      <c r="C26">
        <v>5.112433E-10</v>
      </c>
      <c r="D26">
        <v>5.1117669999999997E-10</v>
      </c>
      <c r="E26">
        <v>5.1118500000000003E-10</v>
      </c>
      <c r="F26" s="36">
        <v>5.1007670000000004E-10</v>
      </c>
      <c r="G26" s="36">
        <v>5.0979329999999997E-10</v>
      </c>
      <c r="H26" s="36">
        <v>5.0969330000000004E-10</v>
      </c>
      <c r="I26" s="36">
        <v>5.0969330000000004E-10</v>
      </c>
      <c r="J26" s="36">
        <v>5.0946829999999997E-10</v>
      </c>
      <c r="K26">
        <v>5.1013500000000002E-10</v>
      </c>
      <c r="L26">
        <v>5.0997670000000001E-10</v>
      </c>
      <c r="M26">
        <v>5.1011000000000001E-10</v>
      </c>
      <c r="N26">
        <v>5.102767E-10</v>
      </c>
      <c r="O26">
        <v>5.0996830000000002E-10</v>
      </c>
      <c r="P26" s="36">
        <v>5.0987669999999998E-10</v>
      </c>
      <c r="Q26" s="36">
        <v>5.0986000000000004E-10</v>
      </c>
      <c r="R26" s="36">
        <v>5.0996830000000002E-10</v>
      </c>
      <c r="S26" s="36">
        <v>5.0981000000000002E-10</v>
      </c>
      <c r="T26" s="36">
        <v>5.0952669999999998E-10</v>
      </c>
      <c r="U26">
        <v>5.1000999999999998E-10</v>
      </c>
      <c r="V26">
        <v>5.0941E-10</v>
      </c>
      <c r="W26">
        <v>5.0963499999999997E-10</v>
      </c>
      <c r="X26">
        <v>5.0977669999999995E-10</v>
      </c>
      <c r="Y26">
        <v>5.0980169999999996E-10</v>
      </c>
      <c r="Z26" s="36">
        <v>5.0981829999999998E-10</v>
      </c>
      <c r="AA26" s="36">
        <v>5.0929330000000002E-10</v>
      </c>
      <c r="AB26" s="36">
        <v>5.0940170000000004E-10</v>
      </c>
      <c r="AC26" s="36">
        <v>5.0917669999999998E-10</v>
      </c>
      <c r="AD26" s="36">
        <v>5.0942669999999995E-10</v>
      </c>
      <c r="AE26">
        <v>5.1035170000000003E-10</v>
      </c>
      <c r="AF26">
        <v>5.0979329999999997E-10</v>
      </c>
      <c r="AG26">
        <v>5.0975170000000005E-10</v>
      </c>
      <c r="AH26">
        <v>5.0962670000000001E-10</v>
      </c>
      <c r="AI26">
        <v>5.095433E-10</v>
      </c>
      <c r="AJ26" s="36">
        <v>5.1064330000000002E-10</v>
      </c>
      <c r="AK26" s="36">
        <v>5.1023500000000005E-10</v>
      </c>
      <c r="AL26" s="36">
        <v>5.1005820000000004E-10</v>
      </c>
      <c r="AM26" s="36">
        <v>5.1023500000000005E-10</v>
      </c>
      <c r="AN26" s="36">
        <v>5.098933E-10</v>
      </c>
      <c r="AO26">
        <v>5.0933499999999998E-10</v>
      </c>
      <c r="AP26">
        <v>5.0878500000000002E-10</v>
      </c>
      <c r="AQ26">
        <v>5.0878500000000002E-10</v>
      </c>
      <c r="AR26">
        <v>5.0876000000000001E-10</v>
      </c>
      <c r="AS26">
        <v>5.0899330000000004E-10</v>
      </c>
      <c r="AT26" s="36">
        <v>5.1055169999999998E-10</v>
      </c>
      <c r="AU26" s="36">
        <v>5.1005170000000004E-10</v>
      </c>
      <c r="AV26" s="36">
        <v>5.1016829999999998E-10</v>
      </c>
      <c r="AW26" s="36">
        <v>5.1005999999999999E-10</v>
      </c>
      <c r="AX26" s="36">
        <v>5.1019329999999999E-10</v>
      </c>
      <c r="AY26">
        <v>5.1172670000000003E-10</v>
      </c>
      <c r="AZ26">
        <v>5.1144329999999996E-10</v>
      </c>
      <c r="BA26">
        <v>5.1125999999999995E-10</v>
      </c>
      <c r="BB26">
        <v>5.1088500000000004E-10</v>
      </c>
      <c r="BC26">
        <v>5.1103499999999998E-10</v>
      </c>
      <c r="BD26" s="36">
        <v>5.1247669999999995E-10</v>
      </c>
      <c r="BE26" s="36">
        <v>5.1190169999999998E-10</v>
      </c>
      <c r="BF26" s="36">
        <v>5.1201830000000003E-10</v>
      </c>
      <c r="BG26" s="36">
        <v>5.1175659999999995E-10</v>
      </c>
      <c r="BH26" s="36">
        <v>5.115683E-10</v>
      </c>
      <c r="BI26">
        <v>5.1279329999999996E-10</v>
      </c>
      <c r="BJ26">
        <v>5.1226000000000005E-10</v>
      </c>
      <c r="BK26">
        <v>5.1233499999999997E-10</v>
      </c>
      <c r="BL26">
        <v>5.1223500000000004E-10</v>
      </c>
      <c r="BM26">
        <v>5.1237670000000003E-10</v>
      </c>
      <c r="BN26" s="36">
        <v>5.1344499999999998E-10</v>
      </c>
      <c r="BO26" s="36">
        <v>5.1283500000000002E-10</v>
      </c>
      <c r="BP26" s="36">
        <v>5.1303420000000003E-10</v>
      </c>
      <c r="BQ26" s="36">
        <v>5.1270080000000005E-10</v>
      </c>
      <c r="BR26" s="36">
        <v>5.1270170000000002E-10</v>
      </c>
    </row>
    <row r="27" spans="1:70" x14ac:dyDescent="0.15">
      <c r="A27">
        <v>5.1158500000000005E-10</v>
      </c>
      <c r="B27">
        <v>5.1117669999999997E-10</v>
      </c>
      <c r="C27">
        <v>5.1138499999999999E-10</v>
      </c>
      <c r="D27">
        <v>5.1123500000000004E-10</v>
      </c>
      <c r="E27">
        <v>5.1138499999999999E-10</v>
      </c>
      <c r="F27" s="36">
        <v>5.0995170000000001E-10</v>
      </c>
      <c r="G27" s="36">
        <v>5.0948500000000002E-10</v>
      </c>
      <c r="H27" s="36">
        <v>5.0935999999999999E-10</v>
      </c>
      <c r="I27" s="36">
        <v>5.0970999999999999E-10</v>
      </c>
      <c r="J27" s="36">
        <v>5.0968499999999998E-10</v>
      </c>
      <c r="K27">
        <v>5.1030170000000001E-10</v>
      </c>
      <c r="L27">
        <v>5.1001830000000004E-10</v>
      </c>
      <c r="M27">
        <v>5.0990169999999999E-10</v>
      </c>
      <c r="N27">
        <v>5.0990169999999999E-10</v>
      </c>
      <c r="O27">
        <v>5.1034330000000004E-10</v>
      </c>
      <c r="P27" s="36">
        <v>5.1003499999999999E-10</v>
      </c>
      <c r="Q27" s="36">
        <v>5.0979329999999997E-10</v>
      </c>
      <c r="R27" s="36">
        <v>5.0965170000000002E-10</v>
      </c>
      <c r="S27" s="36">
        <v>5.0970170000000003E-10</v>
      </c>
      <c r="T27" s="36">
        <v>5.0932670000000002E-10</v>
      </c>
      <c r="U27">
        <v>5.10085E-10</v>
      </c>
      <c r="V27">
        <v>5.098933E-10</v>
      </c>
      <c r="W27">
        <v>5.0957669999999999E-10</v>
      </c>
      <c r="X27">
        <v>5.0949329999999998E-10</v>
      </c>
      <c r="Y27">
        <v>5.0949329999999998E-10</v>
      </c>
      <c r="Z27" s="36">
        <v>5.0947669999999996E-10</v>
      </c>
      <c r="AA27" s="36">
        <v>5.0940170000000004E-10</v>
      </c>
      <c r="AB27" s="36">
        <v>5.0965999999999998E-10</v>
      </c>
      <c r="AC27" s="36">
        <v>5.0966830000000004E-10</v>
      </c>
      <c r="AD27" s="36">
        <v>5.0932670000000002E-10</v>
      </c>
      <c r="AE27">
        <v>5.0986829999999999E-10</v>
      </c>
      <c r="AF27">
        <v>5.09735E-10</v>
      </c>
      <c r="AG27">
        <v>5.0974329999999996E-10</v>
      </c>
      <c r="AH27">
        <v>5.096017E-10</v>
      </c>
      <c r="AI27">
        <v>5.0951000000000003E-10</v>
      </c>
      <c r="AJ27" s="36">
        <v>5.1072670000000004E-10</v>
      </c>
      <c r="AK27" s="36">
        <v>5.102183E-10</v>
      </c>
      <c r="AL27" s="36">
        <v>5.102767E-10</v>
      </c>
      <c r="AM27" s="36">
        <v>5.1055770000000003E-10</v>
      </c>
      <c r="AN27" s="36">
        <v>5.1011829999999997E-10</v>
      </c>
      <c r="AO27">
        <v>5.0922669999999999E-10</v>
      </c>
      <c r="AP27">
        <v>5.0890169999999999E-10</v>
      </c>
      <c r="AQ27">
        <v>5.0853500000000004E-10</v>
      </c>
      <c r="AR27">
        <v>5.0878500000000002E-10</v>
      </c>
      <c r="AS27">
        <v>5.0884329999999999E-10</v>
      </c>
      <c r="AT27" s="36">
        <v>5.1106829999999995E-10</v>
      </c>
      <c r="AU27" s="36">
        <v>5.1033499999999998E-10</v>
      </c>
      <c r="AV27" s="36">
        <v>5.1009329999999996E-10</v>
      </c>
      <c r="AW27" s="36">
        <v>5.1011829999999997E-10</v>
      </c>
      <c r="AX27" s="36">
        <v>5.1042670000000005E-10</v>
      </c>
      <c r="AY27">
        <v>5.1164330000000002E-10</v>
      </c>
      <c r="AZ27">
        <v>5.1135999999999998E-10</v>
      </c>
      <c r="BA27">
        <v>5.1088500000000004E-10</v>
      </c>
      <c r="BB27">
        <v>5.1105999999999999E-10</v>
      </c>
      <c r="BC27">
        <v>5.1110170000000005E-10</v>
      </c>
      <c r="BD27" s="36">
        <v>5.1245170000000005E-10</v>
      </c>
      <c r="BE27" s="36">
        <v>5.1165999999999997E-10</v>
      </c>
      <c r="BF27" s="36">
        <v>5.1204330000000004E-10</v>
      </c>
      <c r="BG27" s="36">
        <v>5.1157669999999999E-10</v>
      </c>
      <c r="BH27" s="36">
        <v>5.1173499999999999E-10</v>
      </c>
      <c r="BI27">
        <v>5.1305920000000004E-10</v>
      </c>
      <c r="BJ27">
        <v>5.1229330000000001E-10</v>
      </c>
      <c r="BK27">
        <v>5.1233499999999997E-10</v>
      </c>
      <c r="BL27">
        <v>5.1244329999999996E-10</v>
      </c>
      <c r="BM27">
        <v>5.1215169999999996E-10</v>
      </c>
      <c r="BN27" s="36">
        <v>5.1340500000000005E-10</v>
      </c>
      <c r="BO27" s="36">
        <v>5.1295920000000001E-10</v>
      </c>
      <c r="BP27" s="36">
        <v>5.1289329999999999E-10</v>
      </c>
      <c r="BQ27" s="36">
        <v>5.1307579999999995E-10</v>
      </c>
      <c r="BR27" s="36">
        <v>5.1267670000000001E-10</v>
      </c>
    </row>
    <row r="28" spans="1:70" x14ac:dyDescent="0.15">
      <c r="A28">
        <v>5.1169330000000004E-10</v>
      </c>
      <c r="B28">
        <v>5.1135999999999998E-10</v>
      </c>
      <c r="C28">
        <v>5.1134330000000003E-10</v>
      </c>
      <c r="D28">
        <v>5.1141829999999995E-10</v>
      </c>
      <c r="E28">
        <v>5.1130999999999996E-10</v>
      </c>
      <c r="F28" s="36">
        <v>5.1001830000000004E-10</v>
      </c>
      <c r="G28" s="36">
        <v>5.0953500000000004E-10</v>
      </c>
      <c r="H28" s="36">
        <v>5.0985169999999998E-10</v>
      </c>
      <c r="I28" s="36">
        <v>5.0980169999999996E-10</v>
      </c>
      <c r="J28" s="36">
        <v>5.0955169999999999E-10</v>
      </c>
      <c r="K28">
        <v>5.1020169999999998E-10</v>
      </c>
      <c r="L28">
        <v>5.0976829999999996E-10</v>
      </c>
      <c r="M28">
        <v>5.0970999999999999E-10</v>
      </c>
      <c r="N28">
        <v>5.1010169999999995E-10</v>
      </c>
      <c r="O28">
        <v>5.0985169999999998E-10</v>
      </c>
      <c r="P28" s="36">
        <v>5.0995170000000001E-10</v>
      </c>
      <c r="Q28" s="36">
        <v>5.0953500000000004E-10</v>
      </c>
      <c r="R28" s="36">
        <v>5.0976829999999996E-10</v>
      </c>
      <c r="S28" s="36">
        <v>5.0952669999999998E-10</v>
      </c>
      <c r="T28" s="36">
        <v>5.0956830000000001E-10</v>
      </c>
      <c r="U28">
        <v>5.0990999999999995E-10</v>
      </c>
      <c r="V28">
        <v>5.0931830000000003E-10</v>
      </c>
      <c r="W28">
        <v>5.0945169999999996E-10</v>
      </c>
      <c r="X28">
        <v>5.0980169999999996E-10</v>
      </c>
      <c r="Y28">
        <v>5.0930170000000001E-10</v>
      </c>
      <c r="Z28" s="36">
        <v>5.0993499999999996E-10</v>
      </c>
      <c r="AA28" s="36">
        <v>5.0935170000000003E-10</v>
      </c>
      <c r="AB28" s="36">
        <v>5.0955169999999999E-10</v>
      </c>
      <c r="AC28" s="36">
        <v>5.095433E-10</v>
      </c>
      <c r="AD28" s="36">
        <v>5.0952669999999998E-10</v>
      </c>
      <c r="AE28">
        <v>5.0999330000000003E-10</v>
      </c>
      <c r="AF28">
        <v>5.099267E-10</v>
      </c>
      <c r="AG28">
        <v>5.0976000000000001E-10</v>
      </c>
      <c r="AH28">
        <v>5.0982669999999997E-10</v>
      </c>
      <c r="AI28">
        <v>5.0981000000000002E-10</v>
      </c>
      <c r="AJ28" s="36">
        <v>5.1062670000000001E-10</v>
      </c>
      <c r="AK28" s="36">
        <v>5.1043500000000001E-10</v>
      </c>
      <c r="AL28" s="36">
        <v>5.1040170000000004E-10</v>
      </c>
      <c r="AM28" s="36">
        <v>5.1045169999999995E-10</v>
      </c>
      <c r="AN28" s="36">
        <v>5.1044329999999996E-10</v>
      </c>
      <c r="AO28">
        <v>5.0946829999999997E-10</v>
      </c>
      <c r="AP28">
        <v>5.0896830000000003E-10</v>
      </c>
      <c r="AQ28">
        <v>5.0888500000000005E-10</v>
      </c>
      <c r="AR28">
        <v>5.0895170000000001E-10</v>
      </c>
      <c r="AS28">
        <v>5.0890999999999995E-10</v>
      </c>
      <c r="AT28" s="36">
        <v>5.1082669999999996E-10</v>
      </c>
      <c r="AU28" s="36">
        <v>5.1046829999999997E-10</v>
      </c>
      <c r="AV28" s="36">
        <v>5.1036830000000004E-10</v>
      </c>
      <c r="AW28" s="36">
        <v>5.1025999999999995E-10</v>
      </c>
      <c r="AX28" s="36">
        <v>5.1021000000000004E-10</v>
      </c>
      <c r="AY28">
        <v>5.1186000000000003E-10</v>
      </c>
      <c r="AZ28">
        <v>5.1134330000000003E-10</v>
      </c>
      <c r="BA28">
        <v>5.1125169999999999E-10</v>
      </c>
      <c r="BB28">
        <v>5.1106829999999995E-10</v>
      </c>
      <c r="BC28">
        <v>5.109267E-10</v>
      </c>
      <c r="BD28" s="36">
        <v>5.1202670000000002E-10</v>
      </c>
      <c r="BE28" s="36">
        <v>5.1140170000000004E-10</v>
      </c>
      <c r="BF28" s="36">
        <v>5.1176E-10</v>
      </c>
      <c r="BG28" s="36">
        <v>5.1186829999999999E-10</v>
      </c>
      <c r="BH28" s="36">
        <v>5.1176829999999996E-10</v>
      </c>
      <c r="BI28">
        <v>5.1272579999999995E-10</v>
      </c>
      <c r="BJ28">
        <v>5.1229330000000001E-10</v>
      </c>
      <c r="BK28">
        <v>5.1212669999999995E-10</v>
      </c>
      <c r="BL28">
        <v>5.1240999999999999E-10</v>
      </c>
      <c r="BM28">
        <v>5.1223500000000004E-10</v>
      </c>
      <c r="BN28" s="36">
        <v>5.1324670000000004E-10</v>
      </c>
      <c r="BO28" s="36">
        <v>5.1286000000000003E-10</v>
      </c>
      <c r="BP28" s="36">
        <v>5.1282669999999996E-10</v>
      </c>
      <c r="BQ28" s="36">
        <v>5.1265170000000001E-10</v>
      </c>
      <c r="BR28" s="36">
        <v>5.1260999999999995E-10</v>
      </c>
    </row>
    <row r="29" spans="1:70" x14ac:dyDescent="0.15">
      <c r="A29">
        <v>5.1146000000000001E-10</v>
      </c>
      <c r="B29">
        <v>5.1130999999999996E-10</v>
      </c>
      <c r="C29">
        <v>5.1138499999999999E-10</v>
      </c>
      <c r="D29">
        <v>5.1130170000000001E-10</v>
      </c>
      <c r="E29">
        <v>5.11435E-10</v>
      </c>
      <c r="F29" s="36">
        <v>5.0986829999999999E-10</v>
      </c>
      <c r="G29" s="36">
        <v>5.0981000000000002E-10</v>
      </c>
      <c r="H29" s="36">
        <v>5.0956830000000001E-10</v>
      </c>
      <c r="I29" s="36">
        <v>5.0961830000000002E-10</v>
      </c>
      <c r="J29" s="36">
        <v>5.0970170000000003E-10</v>
      </c>
      <c r="K29">
        <v>5.1067670000000002E-10</v>
      </c>
      <c r="L29">
        <v>5.0964330000000003E-10</v>
      </c>
      <c r="M29">
        <v>5.10085E-10</v>
      </c>
      <c r="N29">
        <v>5.1020169999999998E-10</v>
      </c>
      <c r="O29">
        <v>5.1026830000000001E-10</v>
      </c>
      <c r="P29" s="36">
        <v>5.1015169999999996E-10</v>
      </c>
      <c r="Q29" s="36">
        <v>5.0967670000000003E-10</v>
      </c>
      <c r="R29" s="36">
        <v>5.0964330000000003E-10</v>
      </c>
      <c r="S29" s="36">
        <v>5.0955169999999999E-10</v>
      </c>
      <c r="T29" s="36">
        <v>5.0937670000000004E-10</v>
      </c>
      <c r="U29">
        <v>5.0956830000000001E-10</v>
      </c>
      <c r="V29">
        <v>5.0938499999999999E-10</v>
      </c>
      <c r="W29">
        <v>5.0913500000000002E-10</v>
      </c>
      <c r="X29">
        <v>5.0930170000000001E-10</v>
      </c>
      <c r="Y29">
        <v>5.0928499999999996E-10</v>
      </c>
      <c r="Z29" s="36">
        <v>5.0995999999999996E-10</v>
      </c>
      <c r="AA29" s="36">
        <v>5.0930170000000001E-10</v>
      </c>
      <c r="AB29" s="36">
        <v>5.0965999999999998E-10</v>
      </c>
      <c r="AC29" s="36">
        <v>5.0941E-10</v>
      </c>
      <c r="AD29" s="36">
        <v>5.0931830000000003E-10</v>
      </c>
      <c r="AE29">
        <v>5.0996830000000002E-10</v>
      </c>
      <c r="AF29">
        <v>5.0970170000000003E-10</v>
      </c>
      <c r="AG29">
        <v>5.0981000000000002E-10</v>
      </c>
      <c r="AH29">
        <v>5.0987669999999998E-10</v>
      </c>
      <c r="AI29">
        <v>5.0977669999999995E-10</v>
      </c>
      <c r="AJ29" s="36">
        <v>5.1106829999999995E-10</v>
      </c>
      <c r="AK29" s="36">
        <v>5.1046829999999997E-10</v>
      </c>
      <c r="AL29" s="36">
        <v>5.1063499999999996E-10</v>
      </c>
      <c r="AM29" s="36">
        <v>5.1042670000000005E-10</v>
      </c>
      <c r="AN29" s="36">
        <v>5.1001830000000004E-10</v>
      </c>
      <c r="AO29">
        <v>5.0955169999999999E-10</v>
      </c>
      <c r="AP29">
        <v>5.0890169999999999E-10</v>
      </c>
      <c r="AQ29">
        <v>5.088933E-10</v>
      </c>
      <c r="AR29">
        <v>5.0899330000000004E-10</v>
      </c>
      <c r="AS29">
        <v>5.0878500000000002E-10</v>
      </c>
      <c r="AT29" s="36">
        <v>5.109267E-10</v>
      </c>
      <c r="AU29" s="36">
        <v>5.1033499999999998E-10</v>
      </c>
      <c r="AV29" s="36">
        <v>5.1028499999999996E-10</v>
      </c>
      <c r="AW29" s="36">
        <v>5.1048500000000002E-10</v>
      </c>
      <c r="AX29" s="36">
        <v>5.1045169999999995E-10</v>
      </c>
      <c r="AY29">
        <v>5.1170999999999998E-10</v>
      </c>
      <c r="AZ29">
        <v>5.1130999999999996E-10</v>
      </c>
      <c r="BA29">
        <v>5.1116000000000002E-10</v>
      </c>
      <c r="BB29">
        <v>5.1095999999999996E-10</v>
      </c>
      <c r="BC29">
        <v>5.1105999999999999E-10</v>
      </c>
      <c r="BD29" s="36">
        <v>5.1213500000000001E-10</v>
      </c>
      <c r="BE29" s="36">
        <v>5.1179329999999996E-10</v>
      </c>
      <c r="BF29" s="36">
        <v>5.1172670000000003E-10</v>
      </c>
      <c r="BG29" s="36">
        <v>5.1192669999999999E-10</v>
      </c>
      <c r="BH29" s="36">
        <v>5.1175170000000004E-10</v>
      </c>
      <c r="BI29">
        <v>5.1251000000000002E-10</v>
      </c>
      <c r="BJ29">
        <v>5.1230999999999996E-10</v>
      </c>
      <c r="BK29">
        <v>5.1234330000000003E-10</v>
      </c>
      <c r="BL29">
        <v>5.1218500000000003E-10</v>
      </c>
      <c r="BM29">
        <v>5.1198499999999996E-10</v>
      </c>
      <c r="BN29" s="36">
        <v>5.1314919999999998E-10</v>
      </c>
      <c r="BO29" s="36">
        <v>5.1268499999999997E-10</v>
      </c>
      <c r="BP29" s="36">
        <v>5.125933E-10</v>
      </c>
      <c r="BQ29" s="36">
        <v>5.125842E-10</v>
      </c>
      <c r="BR29" s="36">
        <v>5.1270999999999998E-10</v>
      </c>
    </row>
    <row r="30" spans="1:70" x14ac:dyDescent="0.15">
      <c r="A30">
        <v>5.1200170000000001E-10</v>
      </c>
      <c r="B30">
        <v>5.1152669999999997E-10</v>
      </c>
      <c r="C30">
        <v>5.1144329999999996E-10</v>
      </c>
      <c r="D30">
        <v>5.1172670000000003E-10</v>
      </c>
      <c r="E30">
        <v>5.1151000000000003E-10</v>
      </c>
      <c r="F30" s="36">
        <v>5.0981000000000002E-10</v>
      </c>
      <c r="G30" s="36">
        <v>5.095433E-10</v>
      </c>
      <c r="H30" s="36">
        <v>5.0966830000000004E-10</v>
      </c>
      <c r="I30" s="36">
        <v>5.0976829999999996E-10</v>
      </c>
      <c r="J30" s="36">
        <v>5.0936830000000005E-10</v>
      </c>
      <c r="K30">
        <v>5.1049329999999998E-10</v>
      </c>
      <c r="L30">
        <v>5.1000170000000002E-10</v>
      </c>
      <c r="M30">
        <v>5.0999330000000003E-10</v>
      </c>
      <c r="N30">
        <v>5.1007670000000004E-10</v>
      </c>
      <c r="O30">
        <v>5.1017669999999997E-10</v>
      </c>
      <c r="P30" s="36">
        <v>5.1006829999999995E-10</v>
      </c>
      <c r="Q30" s="36">
        <v>5.0972670000000004E-10</v>
      </c>
      <c r="R30" s="36">
        <v>5.0947669999999996E-10</v>
      </c>
      <c r="S30" s="36">
        <v>5.0953500000000004E-10</v>
      </c>
      <c r="T30" s="36">
        <v>5.0935170000000003E-10</v>
      </c>
      <c r="U30">
        <v>5.0984329999999999E-10</v>
      </c>
      <c r="V30">
        <v>5.0930170000000001E-10</v>
      </c>
      <c r="W30">
        <v>5.0943500000000001E-10</v>
      </c>
      <c r="X30">
        <v>5.0916000000000003E-10</v>
      </c>
      <c r="Y30">
        <v>5.0934330000000004E-10</v>
      </c>
      <c r="Z30" s="36">
        <v>5.1001830000000004E-10</v>
      </c>
      <c r="AA30" s="36">
        <v>5.0968499999999998E-10</v>
      </c>
      <c r="AB30" s="36">
        <v>5.0962670000000001E-10</v>
      </c>
      <c r="AC30" s="36">
        <v>5.0939329999999995E-10</v>
      </c>
      <c r="AD30" s="36">
        <v>5.0950169999999997E-10</v>
      </c>
      <c r="AE30">
        <v>5.1019329999999999E-10</v>
      </c>
      <c r="AF30">
        <v>5.0957669999999999E-10</v>
      </c>
      <c r="AG30">
        <v>5.0987669999999998E-10</v>
      </c>
      <c r="AH30">
        <v>5.0975170000000005E-10</v>
      </c>
      <c r="AI30">
        <v>5.0962670000000001E-10</v>
      </c>
      <c r="AJ30" s="36">
        <v>5.1126830000000001E-10</v>
      </c>
      <c r="AK30" s="36">
        <v>5.1051829999999999E-10</v>
      </c>
      <c r="AL30" s="36">
        <v>5.1048500000000002E-10</v>
      </c>
      <c r="AM30" s="36">
        <v>5.1070170000000003E-10</v>
      </c>
      <c r="AN30" s="36">
        <v>5.1016829999999998E-10</v>
      </c>
      <c r="AO30">
        <v>5.0937670000000004E-10</v>
      </c>
      <c r="AP30">
        <v>5.0909329999999996E-10</v>
      </c>
      <c r="AQ30">
        <v>5.0912669999999996E-10</v>
      </c>
      <c r="AR30">
        <v>5.088683E-10</v>
      </c>
      <c r="AS30">
        <v>5.0911000000000001E-10</v>
      </c>
      <c r="AT30" s="36">
        <v>5.1091000000000005E-10</v>
      </c>
      <c r="AU30" s="36">
        <v>5.1079329999999997E-10</v>
      </c>
      <c r="AV30" s="36">
        <v>5.1040170000000004E-10</v>
      </c>
      <c r="AW30" s="36">
        <v>5.1073499999999999E-10</v>
      </c>
      <c r="AX30" s="36">
        <v>5.1062670000000001E-10</v>
      </c>
      <c r="AY30">
        <v>5.1146000000000001E-10</v>
      </c>
      <c r="AZ30">
        <v>5.1099330000000003E-10</v>
      </c>
      <c r="BA30">
        <v>5.1112669999999995E-10</v>
      </c>
      <c r="BB30">
        <v>5.1103499999999998E-10</v>
      </c>
      <c r="BC30">
        <v>5.1090169999999999E-10</v>
      </c>
      <c r="BD30" s="36">
        <v>5.1222669999999998E-10</v>
      </c>
      <c r="BE30" s="36">
        <v>5.1151829999999998E-10</v>
      </c>
      <c r="BF30" s="36">
        <v>5.116267E-10</v>
      </c>
      <c r="BG30" s="36">
        <v>5.1151000000000003E-10</v>
      </c>
      <c r="BH30" s="36">
        <v>5.1170999999999998E-10</v>
      </c>
      <c r="BI30">
        <v>5.1275170000000004E-10</v>
      </c>
      <c r="BJ30">
        <v>5.1199330000000003E-10</v>
      </c>
      <c r="BK30">
        <v>5.1187669999999998E-10</v>
      </c>
      <c r="BL30">
        <v>5.1175170000000004E-10</v>
      </c>
      <c r="BM30">
        <v>5.1183500000000002E-10</v>
      </c>
      <c r="BN30" s="36">
        <v>5.1320670000000001E-10</v>
      </c>
      <c r="BO30" s="36">
        <v>5.1282669999999996E-10</v>
      </c>
      <c r="BP30" s="36">
        <v>5.1268420000000003E-10</v>
      </c>
      <c r="BQ30" s="36">
        <v>5.1290169999999998E-10</v>
      </c>
      <c r="BR30" s="36">
        <v>5.1238499999999998E-10</v>
      </c>
    </row>
    <row r="31" spans="1:70" x14ac:dyDescent="0.15">
      <c r="A31">
        <v>5.1193499999999995E-10</v>
      </c>
      <c r="B31">
        <v>5.1165999999999997E-10</v>
      </c>
      <c r="C31">
        <v>5.1146000000000001E-10</v>
      </c>
      <c r="D31">
        <v>5.1145169999999995E-10</v>
      </c>
      <c r="E31">
        <v>5.1135999999999998E-10</v>
      </c>
      <c r="F31" s="36">
        <v>5.1016000000000003E-10</v>
      </c>
      <c r="G31" s="36">
        <v>5.0962670000000001E-10</v>
      </c>
      <c r="H31" s="36">
        <v>5.0976829999999996E-10</v>
      </c>
      <c r="I31" s="36">
        <v>5.0962670000000001E-10</v>
      </c>
      <c r="J31" s="36">
        <v>5.0963499999999997E-10</v>
      </c>
      <c r="K31">
        <v>5.1029330000000002E-10</v>
      </c>
      <c r="L31">
        <v>5.0985169999999998E-10</v>
      </c>
      <c r="M31">
        <v>5.1000999999999998E-10</v>
      </c>
      <c r="N31">
        <v>5.1011000000000001E-10</v>
      </c>
      <c r="O31">
        <v>5.1000999999999998E-10</v>
      </c>
      <c r="P31" s="36">
        <v>5.09735E-10</v>
      </c>
      <c r="Q31" s="36">
        <v>5.0939329999999995E-10</v>
      </c>
      <c r="R31" s="36">
        <v>5.0932670000000002E-10</v>
      </c>
      <c r="S31" s="36">
        <v>5.0932670000000002E-10</v>
      </c>
      <c r="T31" s="36">
        <v>5.0911829999999997E-10</v>
      </c>
      <c r="U31">
        <v>5.0981000000000002E-10</v>
      </c>
      <c r="V31">
        <v>5.0958499999999995E-10</v>
      </c>
      <c r="W31">
        <v>5.0949329999999998E-10</v>
      </c>
      <c r="X31">
        <v>5.0984329999999999E-10</v>
      </c>
      <c r="Y31">
        <v>5.0939329999999995E-10</v>
      </c>
      <c r="Z31" s="36">
        <v>5.0996830000000002E-10</v>
      </c>
      <c r="AA31" s="36">
        <v>5.0951829999999999E-10</v>
      </c>
      <c r="AB31" s="36">
        <v>5.0990999999999995E-10</v>
      </c>
      <c r="AC31" s="36">
        <v>5.0980169999999996E-10</v>
      </c>
      <c r="AD31" s="36">
        <v>5.0956830000000001E-10</v>
      </c>
      <c r="AE31">
        <v>5.1025169999999999E-10</v>
      </c>
      <c r="AF31">
        <v>5.0995170000000001E-10</v>
      </c>
      <c r="AG31">
        <v>5.0994330000000002E-10</v>
      </c>
      <c r="AH31">
        <v>5.0983500000000003E-10</v>
      </c>
      <c r="AI31">
        <v>5.0982669999999997E-10</v>
      </c>
      <c r="AJ31" s="36">
        <v>5.1107670000000004E-10</v>
      </c>
      <c r="AK31" s="36">
        <v>5.1070170000000003E-10</v>
      </c>
      <c r="AL31" s="36">
        <v>5.1043500000000001E-10</v>
      </c>
      <c r="AM31" s="36">
        <v>5.1054329999999999E-10</v>
      </c>
      <c r="AN31" s="36">
        <v>5.1058499999999995E-10</v>
      </c>
      <c r="AO31">
        <v>5.0937670000000004E-10</v>
      </c>
      <c r="AP31">
        <v>5.0903499999999999E-10</v>
      </c>
      <c r="AQ31">
        <v>5.0884329999999999E-10</v>
      </c>
      <c r="AR31">
        <v>5.0902670000000003E-10</v>
      </c>
      <c r="AS31">
        <v>5.0911000000000001E-10</v>
      </c>
      <c r="AT31" s="36">
        <v>5.1094330000000001E-10</v>
      </c>
      <c r="AU31" s="36">
        <v>5.1060999999999996E-10</v>
      </c>
      <c r="AV31" s="36">
        <v>5.1026830000000001E-10</v>
      </c>
      <c r="AW31" s="36">
        <v>5.1047669999999996E-10</v>
      </c>
      <c r="AX31" s="36">
        <v>5.1050169999999997E-10</v>
      </c>
      <c r="AY31">
        <v>5.1138499999999999E-10</v>
      </c>
      <c r="AZ31">
        <v>5.1105999999999999E-10</v>
      </c>
      <c r="BA31">
        <v>5.1120169999999998E-10</v>
      </c>
      <c r="BB31">
        <v>5.1105170000000003E-10</v>
      </c>
      <c r="BC31">
        <v>5.1100999999999998E-10</v>
      </c>
      <c r="BD31" s="36">
        <v>5.1196830000000002E-10</v>
      </c>
      <c r="BE31" s="36">
        <v>5.11435E-10</v>
      </c>
      <c r="BF31" s="36">
        <v>5.115683E-10</v>
      </c>
      <c r="BG31" s="36">
        <v>5.1160999999999995E-10</v>
      </c>
      <c r="BH31" s="36">
        <v>5.1126830000000001E-10</v>
      </c>
      <c r="BI31">
        <v>5.126267E-10</v>
      </c>
      <c r="BJ31">
        <v>5.1206830000000005E-10</v>
      </c>
      <c r="BK31">
        <v>5.1204330000000004E-10</v>
      </c>
      <c r="BL31">
        <v>5.1212669999999995E-10</v>
      </c>
      <c r="BM31">
        <v>5.12085E-10</v>
      </c>
      <c r="BN31" s="36">
        <v>5.1338169999999996E-10</v>
      </c>
      <c r="BO31" s="36">
        <v>5.1277579999999997E-10</v>
      </c>
      <c r="BP31" s="36">
        <v>5.128758E-10</v>
      </c>
      <c r="BQ31" s="36">
        <v>5.1280079999999997E-10</v>
      </c>
      <c r="BR31" s="36">
        <v>5.1300080000000003E-10</v>
      </c>
    </row>
    <row r="32" spans="1:70" x14ac:dyDescent="0.15">
      <c r="A32">
        <v>5.1176E-10</v>
      </c>
      <c r="B32">
        <v>5.1130999999999996E-10</v>
      </c>
      <c r="C32">
        <v>5.1140999999999999E-10</v>
      </c>
      <c r="D32">
        <v>5.1174329999999995E-10</v>
      </c>
      <c r="E32">
        <v>5.115683E-10</v>
      </c>
      <c r="F32" s="36">
        <v>5.1009329999999996E-10</v>
      </c>
      <c r="G32" s="36">
        <v>5.095433E-10</v>
      </c>
      <c r="H32" s="36">
        <v>5.0984329999999999E-10</v>
      </c>
      <c r="I32" s="36">
        <v>5.1022669999999999E-10</v>
      </c>
      <c r="J32" s="36">
        <v>5.0988500000000004E-10</v>
      </c>
      <c r="K32">
        <v>5.1016829999999998E-10</v>
      </c>
      <c r="L32">
        <v>5.1003499999999999E-10</v>
      </c>
      <c r="M32">
        <v>5.0984329999999999E-10</v>
      </c>
      <c r="N32">
        <v>5.0975170000000005E-10</v>
      </c>
      <c r="O32">
        <v>5.0959330000000001E-10</v>
      </c>
      <c r="P32" s="36">
        <v>5.0960999999999996E-10</v>
      </c>
      <c r="Q32" s="36">
        <v>5.0929330000000002E-10</v>
      </c>
      <c r="R32" s="36">
        <v>5.0928499999999996E-10</v>
      </c>
      <c r="S32" s="36">
        <v>5.0934330000000004E-10</v>
      </c>
      <c r="T32" s="36">
        <v>5.0888500000000005E-10</v>
      </c>
      <c r="U32">
        <v>5.0959330000000001E-10</v>
      </c>
      <c r="V32">
        <v>5.0946829999999997E-10</v>
      </c>
      <c r="W32">
        <v>5.0967670000000003E-10</v>
      </c>
      <c r="X32">
        <v>5.0956830000000001E-10</v>
      </c>
      <c r="Y32">
        <v>5.0930999999999997E-10</v>
      </c>
      <c r="Z32" s="36">
        <v>5.1014329999999997E-10</v>
      </c>
      <c r="AA32" s="36">
        <v>5.0999330000000003E-10</v>
      </c>
      <c r="AB32" s="36">
        <v>5.0963499999999997E-10</v>
      </c>
      <c r="AC32" s="36">
        <v>5.0987669999999998E-10</v>
      </c>
      <c r="AD32" s="36">
        <v>5.0967670000000003E-10</v>
      </c>
      <c r="AE32">
        <v>5.1043500000000001E-10</v>
      </c>
      <c r="AF32">
        <v>5.0976000000000001E-10</v>
      </c>
      <c r="AG32">
        <v>5.1005999999999999E-10</v>
      </c>
      <c r="AH32">
        <v>5.099267E-10</v>
      </c>
      <c r="AI32">
        <v>5.0985169999999998E-10</v>
      </c>
      <c r="AJ32" s="36">
        <v>5.1102670000000003E-10</v>
      </c>
      <c r="AK32" s="36">
        <v>5.1094330000000001E-10</v>
      </c>
      <c r="AL32" s="36">
        <v>5.1085169999999997E-10</v>
      </c>
      <c r="AM32" s="36">
        <v>5.105683E-10</v>
      </c>
      <c r="AN32" s="36">
        <v>5.1073499999999999E-10</v>
      </c>
      <c r="AO32">
        <v>5.0951000000000003E-10</v>
      </c>
      <c r="AP32">
        <v>5.0920169999999998E-10</v>
      </c>
      <c r="AQ32">
        <v>5.0884329999999999E-10</v>
      </c>
      <c r="AR32">
        <v>5.0919329999999999E-10</v>
      </c>
      <c r="AS32">
        <v>5.088933E-10</v>
      </c>
      <c r="AT32" s="36">
        <v>5.1082669999999996E-10</v>
      </c>
      <c r="AU32" s="36">
        <v>5.1063499999999996E-10</v>
      </c>
      <c r="AV32" s="36">
        <v>5.1052669999999998E-10</v>
      </c>
      <c r="AW32" s="36">
        <v>5.1062670000000001E-10</v>
      </c>
      <c r="AX32" s="36">
        <v>5.1069330000000004E-10</v>
      </c>
      <c r="AY32">
        <v>5.1136830000000004E-10</v>
      </c>
      <c r="AZ32">
        <v>5.108933E-10</v>
      </c>
      <c r="BA32">
        <v>5.1103499999999998E-10</v>
      </c>
      <c r="BB32">
        <v>5.1099330000000003E-10</v>
      </c>
      <c r="BC32">
        <v>5.1068499999999998E-10</v>
      </c>
      <c r="BD32" s="36">
        <v>5.1210170000000005E-10</v>
      </c>
      <c r="BE32" s="36">
        <v>5.1148500000000002E-10</v>
      </c>
      <c r="BF32" s="36">
        <v>5.1165170000000001E-10</v>
      </c>
      <c r="BG32" s="36">
        <v>5.1171830000000004E-10</v>
      </c>
      <c r="BH32" s="36">
        <v>5.1126830000000001E-10</v>
      </c>
      <c r="BI32">
        <v>5.1253500000000003E-10</v>
      </c>
      <c r="BJ32">
        <v>5.1178500000000001E-10</v>
      </c>
      <c r="BK32">
        <v>5.1193499999999995E-10</v>
      </c>
      <c r="BL32">
        <v>5.1195999999999996E-10</v>
      </c>
      <c r="BM32">
        <v>5.1198499999999996E-10</v>
      </c>
      <c r="BN32" s="36">
        <v>5.1346249999999997E-10</v>
      </c>
      <c r="BO32" s="36">
        <v>5.1298420000000002E-10</v>
      </c>
      <c r="BP32" s="36">
        <v>5.1310750000000003E-10</v>
      </c>
      <c r="BQ32" s="36">
        <v>5.1306669999999995E-10</v>
      </c>
      <c r="BR32" s="36">
        <v>5.1302670000000002E-10</v>
      </c>
    </row>
    <row r="33" spans="1:70" x14ac:dyDescent="0.15">
      <c r="A33">
        <v>5.1178500000000001E-10</v>
      </c>
      <c r="B33">
        <v>5.1163499999999996E-10</v>
      </c>
      <c r="C33">
        <v>5.1172670000000003E-10</v>
      </c>
      <c r="D33">
        <v>5.1170170000000003E-10</v>
      </c>
      <c r="E33">
        <v>5.1156000000000004E-10</v>
      </c>
      <c r="F33" s="36">
        <v>5.1045169999999995E-10</v>
      </c>
      <c r="G33" s="36">
        <v>5.0990999999999995E-10</v>
      </c>
      <c r="H33" s="36">
        <v>5.1005999999999999E-10</v>
      </c>
      <c r="I33" s="36">
        <v>5.0995999999999996E-10</v>
      </c>
      <c r="J33" s="36">
        <v>5.0986000000000004E-10</v>
      </c>
      <c r="K33">
        <v>5.0970999999999999E-10</v>
      </c>
      <c r="L33">
        <v>5.0976000000000001E-10</v>
      </c>
      <c r="M33">
        <v>5.0990999999999995E-10</v>
      </c>
      <c r="N33">
        <v>5.0965170000000002E-10</v>
      </c>
      <c r="O33">
        <v>5.0976000000000001E-10</v>
      </c>
      <c r="P33" s="36">
        <v>5.0974329999999996E-10</v>
      </c>
      <c r="Q33" s="36">
        <v>5.0911000000000001E-10</v>
      </c>
      <c r="R33" s="36">
        <v>5.0916829999999999E-10</v>
      </c>
      <c r="S33" s="36">
        <v>5.0924330000000001E-10</v>
      </c>
      <c r="T33" s="36">
        <v>5.0941E-10</v>
      </c>
      <c r="U33">
        <v>5.0979329999999997E-10</v>
      </c>
      <c r="V33">
        <v>5.0934330000000004E-10</v>
      </c>
      <c r="W33">
        <v>5.0912669999999996E-10</v>
      </c>
      <c r="X33">
        <v>5.092517E-10</v>
      </c>
      <c r="Y33">
        <v>5.0945169999999996E-10</v>
      </c>
      <c r="Z33" s="36">
        <v>5.0987669999999998E-10</v>
      </c>
      <c r="AA33" s="36">
        <v>5.0982669999999997E-10</v>
      </c>
      <c r="AB33" s="36">
        <v>5.0978500000000001E-10</v>
      </c>
      <c r="AC33" s="36">
        <v>5.095433E-10</v>
      </c>
      <c r="AD33" s="36">
        <v>5.0979329999999997E-10</v>
      </c>
      <c r="AE33">
        <v>5.1044329999999996E-10</v>
      </c>
      <c r="AF33">
        <v>5.0969330000000004E-10</v>
      </c>
      <c r="AG33">
        <v>5.1019329999999999E-10</v>
      </c>
      <c r="AH33">
        <v>5.0995170000000001E-10</v>
      </c>
      <c r="AI33">
        <v>5.0983500000000003E-10</v>
      </c>
      <c r="AJ33" s="36">
        <v>5.1107670000000004E-10</v>
      </c>
      <c r="AK33" s="36">
        <v>5.109517E-10</v>
      </c>
      <c r="AL33" s="36">
        <v>5.1051000000000003E-10</v>
      </c>
      <c r="AM33" s="36">
        <v>5.1070170000000003E-10</v>
      </c>
      <c r="AN33" s="36">
        <v>5.1093499999999995E-10</v>
      </c>
      <c r="AO33">
        <v>5.0946829999999997E-10</v>
      </c>
      <c r="AP33">
        <v>5.0913500000000002E-10</v>
      </c>
      <c r="AQ33">
        <v>5.0914329999999998E-10</v>
      </c>
      <c r="AR33">
        <v>5.0911829999999997E-10</v>
      </c>
      <c r="AS33">
        <v>5.0893499999999996E-10</v>
      </c>
      <c r="AT33" s="36">
        <v>5.1094330000000001E-10</v>
      </c>
      <c r="AU33" s="36">
        <v>5.1035999999999998E-10</v>
      </c>
      <c r="AV33" s="36">
        <v>5.1048500000000002E-10</v>
      </c>
      <c r="AW33" s="36">
        <v>5.1055169999999998E-10</v>
      </c>
      <c r="AX33" s="36">
        <v>5.1040170000000004E-10</v>
      </c>
      <c r="AY33">
        <v>5.1155169999999998E-10</v>
      </c>
      <c r="AZ33">
        <v>5.1114329999999997E-10</v>
      </c>
      <c r="BA33">
        <v>5.109517E-10</v>
      </c>
      <c r="BB33">
        <v>5.1065170000000001E-10</v>
      </c>
      <c r="BC33">
        <v>5.1073499999999999E-10</v>
      </c>
      <c r="BD33" s="36">
        <v>5.1209329999999995E-10</v>
      </c>
      <c r="BE33" s="36">
        <v>5.1153500000000003E-10</v>
      </c>
      <c r="BF33" s="36">
        <v>5.1104330000000004E-10</v>
      </c>
      <c r="BG33" s="36">
        <v>5.1155169999999998E-10</v>
      </c>
      <c r="BH33" s="36">
        <v>5.1149329999999998E-10</v>
      </c>
      <c r="BI33">
        <v>5.1229330000000001E-10</v>
      </c>
      <c r="BJ33">
        <v>5.1195999999999996E-10</v>
      </c>
      <c r="BK33">
        <v>5.1170170000000003E-10</v>
      </c>
      <c r="BL33">
        <v>5.1200170000000001E-10</v>
      </c>
      <c r="BM33">
        <v>5.1190169999999998E-10</v>
      </c>
      <c r="BN33" s="36">
        <v>5.1331419999999995E-10</v>
      </c>
      <c r="BO33" s="36">
        <v>5.13315E-10</v>
      </c>
      <c r="BP33" s="36">
        <v>5.1312500000000002E-10</v>
      </c>
      <c r="BQ33" s="36">
        <v>5.1286829999999998E-10</v>
      </c>
      <c r="BR33" s="36">
        <v>5.1314919999999998E-10</v>
      </c>
    </row>
    <row r="34" spans="1:70" x14ac:dyDescent="0.15">
      <c r="A34">
        <v>5.1229330000000001E-10</v>
      </c>
      <c r="B34">
        <v>5.1156000000000004E-10</v>
      </c>
      <c r="C34">
        <v>5.1187669999999998E-10</v>
      </c>
      <c r="D34">
        <v>5.1155169999999998E-10</v>
      </c>
      <c r="E34">
        <v>5.1180169999999995E-10</v>
      </c>
      <c r="F34" s="36">
        <v>5.1026830000000001E-10</v>
      </c>
      <c r="G34" s="36">
        <v>5.1007670000000004E-10</v>
      </c>
      <c r="H34" s="36">
        <v>5.1002670000000003E-10</v>
      </c>
      <c r="I34" s="36">
        <v>5.0965170000000002E-10</v>
      </c>
      <c r="J34" s="36">
        <v>5.1015169999999996E-10</v>
      </c>
      <c r="K34">
        <v>5.1016829999999998E-10</v>
      </c>
      <c r="L34">
        <v>5.099267E-10</v>
      </c>
      <c r="M34">
        <v>5.0978500000000001E-10</v>
      </c>
      <c r="N34">
        <v>5.0960999999999996E-10</v>
      </c>
      <c r="O34">
        <v>5.0976000000000001E-10</v>
      </c>
      <c r="P34" s="36">
        <v>5.0946000000000002E-10</v>
      </c>
      <c r="Q34" s="36">
        <v>5.0931830000000003E-10</v>
      </c>
      <c r="R34" s="36">
        <v>5.092183E-10</v>
      </c>
      <c r="S34" s="36">
        <v>5.0906829999999996E-10</v>
      </c>
      <c r="T34" s="36">
        <v>5.0911829999999997E-10</v>
      </c>
      <c r="U34">
        <v>5.0958499999999995E-10</v>
      </c>
      <c r="V34">
        <v>5.0912669999999996E-10</v>
      </c>
      <c r="W34">
        <v>5.0948500000000002E-10</v>
      </c>
      <c r="X34">
        <v>5.0921000000000004E-10</v>
      </c>
      <c r="Y34">
        <v>5.0928499999999996E-10</v>
      </c>
      <c r="Z34" s="36">
        <v>5.1023500000000005E-10</v>
      </c>
      <c r="AA34" s="36">
        <v>5.1002670000000003E-10</v>
      </c>
      <c r="AB34" s="36">
        <v>5.0972670000000004E-10</v>
      </c>
      <c r="AC34" s="36">
        <v>5.09735E-10</v>
      </c>
      <c r="AD34" s="36">
        <v>5.0997670000000001E-10</v>
      </c>
      <c r="AE34">
        <v>5.1045169999999995E-10</v>
      </c>
      <c r="AF34">
        <v>5.0976829999999996E-10</v>
      </c>
      <c r="AG34">
        <v>5.0986000000000004E-10</v>
      </c>
      <c r="AH34">
        <v>5.1012669999999996E-10</v>
      </c>
      <c r="AI34">
        <v>5.0997670000000001E-10</v>
      </c>
      <c r="AJ34" s="36">
        <v>5.1104330000000004E-10</v>
      </c>
      <c r="AK34" s="36">
        <v>5.1079329999999997E-10</v>
      </c>
      <c r="AL34" s="36">
        <v>5.1052669999999998E-10</v>
      </c>
      <c r="AM34" s="36">
        <v>5.1028499999999996E-10</v>
      </c>
      <c r="AN34" s="36">
        <v>5.1119329999999999E-10</v>
      </c>
      <c r="AO34">
        <v>5.0925999999999996E-10</v>
      </c>
      <c r="AP34">
        <v>5.0918500000000004E-10</v>
      </c>
      <c r="AQ34">
        <v>5.0887669999999999E-10</v>
      </c>
      <c r="AR34">
        <v>5.0910169999999995E-10</v>
      </c>
      <c r="AS34">
        <v>5.0900170000000002E-10</v>
      </c>
      <c r="AT34" s="36">
        <v>5.1113500000000001E-10</v>
      </c>
      <c r="AU34" s="36">
        <v>5.1088500000000004E-10</v>
      </c>
      <c r="AV34" s="36">
        <v>5.1070999999999999E-10</v>
      </c>
      <c r="AW34" s="36">
        <v>5.1040170000000004E-10</v>
      </c>
      <c r="AX34" s="36">
        <v>5.105683E-10</v>
      </c>
      <c r="AY34">
        <v>5.1116829999999998E-10</v>
      </c>
      <c r="AZ34">
        <v>5.1082669999999996E-10</v>
      </c>
      <c r="BA34">
        <v>5.1096830000000002E-10</v>
      </c>
      <c r="BB34">
        <v>5.1069330000000004E-10</v>
      </c>
      <c r="BC34">
        <v>5.1049329999999998E-10</v>
      </c>
      <c r="BD34" s="36">
        <v>5.1182669999999996E-10</v>
      </c>
      <c r="BE34" s="36">
        <v>5.11435E-10</v>
      </c>
      <c r="BF34" s="36">
        <v>5.1119329999999999E-10</v>
      </c>
      <c r="BG34" s="36">
        <v>5.1154329999999999E-10</v>
      </c>
      <c r="BH34" s="36">
        <v>5.1140170000000004E-10</v>
      </c>
      <c r="BI34">
        <v>5.1249329999999997E-10</v>
      </c>
      <c r="BJ34">
        <v>5.1205999999999999E-10</v>
      </c>
      <c r="BK34">
        <v>5.1228499999999995E-10</v>
      </c>
      <c r="BL34">
        <v>5.1186829999999999E-10</v>
      </c>
      <c r="BM34">
        <v>5.1207670000000004E-10</v>
      </c>
      <c r="BN34" s="36">
        <v>5.1367670000000001E-10</v>
      </c>
      <c r="BO34" s="36">
        <v>5.1307500000000001E-10</v>
      </c>
      <c r="BP34" s="36">
        <v>5.1309329999999995E-10</v>
      </c>
      <c r="BQ34" s="36">
        <v>5.1331329999999998E-10</v>
      </c>
      <c r="BR34" s="36">
        <v>5.1310829999999997E-10</v>
      </c>
    </row>
    <row r="35" spans="1:70" x14ac:dyDescent="0.15">
      <c r="A35">
        <v>5.1205999999999999E-10</v>
      </c>
      <c r="B35">
        <v>5.1105720000000003E-10</v>
      </c>
      <c r="C35">
        <v>5.1203499999999998E-10</v>
      </c>
      <c r="D35">
        <v>5.1212669999999995E-10</v>
      </c>
      <c r="E35">
        <v>5.1203499999999998E-10</v>
      </c>
      <c r="F35" s="36">
        <v>5.1039330000000005E-10</v>
      </c>
      <c r="G35" s="36">
        <v>5.1010169999999995E-10</v>
      </c>
      <c r="H35" s="36">
        <v>5.1005999999999999E-10</v>
      </c>
      <c r="I35" s="36">
        <v>5.1003499999999999E-10</v>
      </c>
      <c r="J35" s="36">
        <v>5.0994330000000002E-10</v>
      </c>
      <c r="K35">
        <v>5.0970999999999999E-10</v>
      </c>
      <c r="L35">
        <v>5.0985169999999998E-10</v>
      </c>
      <c r="M35">
        <v>5.0968499999999998E-10</v>
      </c>
      <c r="N35">
        <v>5.0980169999999996E-10</v>
      </c>
      <c r="O35">
        <v>5.0966830000000004E-10</v>
      </c>
      <c r="P35" s="36">
        <v>5.0956000000000005E-10</v>
      </c>
      <c r="Q35" s="36">
        <v>5.0915169999999997E-10</v>
      </c>
      <c r="R35" s="36">
        <v>5.0907670000000005E-10</v>
      </c>
      <c r="S35" s="36">
        <v>5.0918500000000004E-10</v>
      </c>
      <c r="T35" s="36">
        <v>5.0935999999999999E-10</v>
      </c>
      <c r="U35">
        <v>5.0981000000000002E-10</v>
      </c>
      <c r="V35">
        <v>5.0912669999999996E-10</v>
      </c>
      <c r="W35">
        <v>5.0912669999999996E-10</v>
      </c>
      <c r="X35">
        <v>5.0919329999999999E-10</v>
      </c>
      <c r="Y35">
        <v>5.0888500000000005E-10</v>
      </c>
      <c r="Z35" s="36">
        <v>5.1039330000000005E-10</v>
      </c>
      <c r="AA35" s="36">
        <v>5.0967670000000003E-10</v>
      </c>
      <c r="AB35" s="36">
        <v>5.09735E-10</v>
      </c>
      <c r="AC35" s="36">
        <v>5.0984329999999999E-10</v>
      </c>
      <c r="AD35" s="36">
        <v>5.0965999999999998E-10</v>
      </c>
      <c r="AE35">
        <v>5.1052669999999998E-10</v>
      </c>
      <c r="AF35">
        <v>5.0994330000000002E-10</v>
      </c>
      <c r="AG35">
        <v>5.0993499999999996E-10</v>
      </c>
      <c r="AH35">
        <v>5.0994330000000002E-10</v>
      </c>
      <c r="AI35">
        <v>5.0996830000000002E-10</v>
      </c>
      <c r="AJ35" s="36">
        <v>5.1118500000000003E-10</v>
      </c>
      <c r="AK35" s="36">
        <v>5.1074329999999995E-10</v>
      </c>
      <c r="AL35" s="36">
        <v>5.1106829999999995E-10</v>
      </c>
      <c r="AM35" s="36">
        <v>5.1100999999999998E-10</v>
      </c>
      <c r="AN35" s="36">
        <v>5.1097670000000001E-10</v>
      </c>
      <c r="AO35">
        <v>5.0967670000000003E-10</v>
      </c>
      <c r="AP35">
        <v>5.0894330000000002E-10</v>
      </c>
      <c r="AQ35">
        <v>5.0906829999999996E-10</v>
      </c>
      <c r="AR35">
        <v>5.0885169999999998E-10</v>
      </c>
      <c r="AS35">
        <v>5.0914329999999998E-10</v>
      </c>
      <c r="AT35" s="36">
        <v>5.1095999999999996E-10</v>
      </c>
      <c r="AU35" s="36">
        <v>5.1076E-10</v>
      </c>
      <c r="AV35" s="36">
        <v>5.1046829999999997E-10</v>
      </c>
      <c r="AW35" s="36">
        <v>5.1076E-10</v>
      </c>
      <c r="AX35" s="36">
        <v>5.1044329999999996E-10</v>
      </c>
      <c r="AY35">
        <v>5.1135170000000002E-10</v>
      </c>
      <c r="AZ35">
        <v>5.1099330000000003E-10</v>
      </c>
      <c r="BA35">
        <v>5.1088500000000004E-10</v>
      </c>
      <c r="BB35">
        <v>5.1110170000000005E-10</v>
      </c>
      <c r="BC35">
        <v>5.1070999999999999E-10</v>
      </c>
      <c r="BD35" s="36">
        <v>5.1187669999999998E-10</v>
      </c>
      <c r="BE35" s="36">
        <v>5.1135999999999998E-10</v>
      </c>
      <c r="BF35" s="36">
        <v>5.1157669999999999E-10</v>
      </c>
      <c r="BG35" s="36">
        <v>5.1136830000000004E-10</v>
      </c>
      <c r="BH35" s="36">
        <v>5.1153500000000003E-10</v>
      </c>
      <c r="BI35">
        <v>5.1258500000000005E-10</v>
      </c>
      <c r="BJ35">
        <v>5.1211829999999996E-10</v>
      </c>
      <c r="BK35">
        <v>5.1171830000000004E-10</v>
      </c>
      <c r="BL35">
        <v>5.1187669999999998E-10</v>
      </c>
      <c r="BM35">
        <v>5.1179329999999996E-10</v>
      </c>
      <c r="BN35" s="36">
        <v>5.1340500000000005E-10</v>
      </c>
      <c r="BO35" s="36">
        <v>5.1315919999999997E-10</v>
      </c>
      <c r="BP35" s="36">
        <v>5.1336500000000002E-10</v>
      </c>
      <c r="BQ35" s="36">
        <v>5.1304249999999999E-10</v>
      </c>
      <c r="BR35" s="36">
        <v>5.1313419999999996E-10</v>
      </c>
    </row>
    <row r="36" spans="1:70" x14ac:dyDescent="0.15">
      <c r="A36">
        <v>5.1218500000000003E-10</v>
      </c>
      <c r="B36">
        <v>5.1207670000000004E-10</v>
      </c>
      <c r="C36">
        <v>5.1164330000000002E-10</v>
      </c>
      <c r="D36">
        <v>5.1200999999999997E-10</v>
      </c>
      <c r="E36">
        <v>5.1210170000000005E-10</v>
      </c>
      <c r="F36" s="36">
        <v>5.1044329999999996E-10</v>
      </c>
      <c r="G36" s="36">
        <v>5.0995170000000001E-10</v>
      </c>
      <c r="H36" s="36">
        <v>5.0999330000000003E-10</v>
      </c>
      <c r="I36" s="36">
        <v>5.1025169999999999E-10</v>
      </c>
      <c r="J36" s="36">
        <v>5.0963499999999997E-10</v>
      </c>
      <c r="K36">
        <v>5.098933E-10</v>
      </c>
      <c r="L36">
        <v>5.0932670000000002E-10</v>
      </c>
      <c r="M36">
        <v>5.0938499999999999E-10</v>
      </c>
      <c r="N36">
        <v>5.0930170000000001E-10</v>
      </c>
      <c r="O36">
        <v>5.0941E-10</v>
      </c>
      <c r="P36" s="36">
        <v>5.089267E-10</v>
      </c>
      <c r="Q36" s="36">
        <v>5.0891830000000001E-10</v>
      </c>
      <c r="R36" s="36">
        <v>5.0897670000000002E-10</v>
      </c>
      <c r="S36" s="36">
        <v>5.0895170000000001E-10</v>
      </c>
      <c r="T36" s="36">
        <v>5.0902670000000003E-10</v>
      </c>
      <c r="U36">
        <v>5.0974329999999996E-10</v>
      </c>
      <c r="V36">
        <v>5.0906829999999996E-10</v>
      </c>
      <c r="W36">
        <v>5.0900170000000002E-10</v>
      </c>
      <c r="X36">
        <v>5.0905170000000004E-10</v>
      </c>
      <c r="Y36">
        <v>5.0911000000000001E-10</v>
      </c>
      <c r="Z36" s="36">
        <v>5.1025999999999995E-10</v>
      </c>
      <c r="AA36" s="36">
        <v>5.0976829999999996E-10</v>
      </c>
      <c r="AB36" s="36">
        <v>5.0977669999999995E-10</v>
      </c>
      <c r="AC36" s="36">
        <v>5.0987669999999998E-10</v>
      </c>
      <c r="AD36" s="36">
        <v>5.0965999999999998E-10</v>
      </c>
      <c r="AE36">
        <v>5.1038499999999999E-10</v>
      </c>
      <c r="AF36">
        <v>5.0964330000000003E-10</v>
      </c>
      <c r="AG36">
        <v>5.1004330000000005E-10</v>
      </c>
      <c r="AH36">
        <v>5.1036830000000004E-10</v>
      </c>
      <c r="AI36">
        <v>5.1007670000000004E-10</v>
      </c>
      <c r="AJ36" s="36">
        <v>5.1140170000000004E-10</v>
      </c>
      <c r="AK36" s="36">
        <v>5.1116000000000002E-10</v>
      </c>
      <c r="AL36" s="36">
        <v>5.1065999999999997E-10</v>
      </c>
      <c r="AM36" s="36">
        <v>5.1103499999999998E-10</v>
      </c>
      <c r="AN36" s="36">
        <v>5.1095999999999996E-10</v>
      </c>
      <c r="AO36">
        <v>5.0941829999999996E-10</v>
      </c>
      <c r="AP36">
        <v>5.0907670000000005E-10</v>
      </c>
      <c r="AQ36">
        <v>5.0890999999999995E-10</v>
      </c>
      <c r="AR36">
        <v>5.0900170000000002E-10</v>
      </c>
      <c r="AS36">
        <v>5.0883500000000003E-10</v>
      </c>
      <c r="AT36" s="36">
        <v>5.1113500000000001E-10</v>
      </c>
      <c r="AU36" s="36">
        <v>5.1074329999999995E-10</v>
      </c>
      <c r="AV36" s="36">
        <v>5.1076E-10</v>
      </c>
      <c r="AW36" s="36">
        <v>5.1081000000000002E-10</v>
      </c>
      <c r="AX36" s="36">
        <v>5.1053500000000004E-10</v>
      </c>
      <c r="AY36">
        <v>5.1146000000000001E-10</v>
      </c>
      <c r="AZ36">
        <v>5.108933E-10</v>
      </c>
      <c r="BA36">
        <v>5.1096830000000002E-10</v>
      </c>
      <c r="BB36">
        <v>5.1080169999999996E-10</v>
      </c>
      <c r="BC36">
        <v>5.1053500000000004E-10</v>
      </c>
      <c r="BD36" s="36">
        <v>5.119517E-10</v>
      </c>
      <c r="BE36" s="36">
        <v>5.1119329999999999E-10</v>
      </c>
      <c r="BF36" s="36">
        <v>5.1149329999999998E-10</v>
      </c>
      <c r="BG36" s="36">
        <v>5.1139330000000005E-10</v>
      </c>
      <c r="BH36" s="36">
        <v>5.1160999999999995E-10</v>
      </c>
      <c r="BI36">
        <v>5.1251829999999998E-10</v>
      </c>
      <c r="BJ36">
        <v>5.1203499999999998E-10</v>
      </c>
      <c r="BK36">
        <v>5.1211829999999996E-10</v>
      </c>
      <c r="BL36">
        <v>5.1205999999999999E-10</v>
      </c>
      <c r="BM36">
        <v>5.1221829999999999E-10</v>
      </c>
      <c r="BN36" s="36">
        <v>5.1361079999999999E-10</v>
      </c>
      <c r="BO36" s="36">
        <v>5.1342329999999999E-10</v>
      </c>
      <c r="BP36" s="36">
        <v>5.1316750000000003E-10</v>
      </c>
      <c r="BQ36" s="36">
        <v>5.1299330000000002E-10</v>
      </c>
      <c r="BR36" s="36">
        <v>5.1300080000000003E-10</v>
      </c>
    </row>
    <row r="37" spans="1:70" x14ac:dyDescent="0.15">
      <c r="A37">
        <v>5.1195999999999996E-10</v>
      </c>
      <c r="B37">
        <v>5.1186829999999999E-10</v>
      </c>
      <c r="C37">
        <v>5.1168499999999998E-10</v>
      </c>
      <c r="D37">
        <v>5.1188500000000004E-10</v>
      </c>
      <c r="E37">
        <v>5.1190169999999998E-10</v>
      </c>
      <c r="F37" s="36">
        <v>5.1056000000000004E-10</v>
      </c>
      <c r="G37" s="36">
        <v>5.0991830000000001E-10</v>
      </c>
      <c r="H37" s="36">
        <v>5.102183E-10</v>
      </c>
      <c r="I37" s="36">
        <v>5.1030999999999997E-10</v>
      </c>
      <c r="J37" s="36">
        <v>5.1018500000000003E-10</v>
      </c>
      <c r="K37">
        <v>5.0996830000000002E-10</v>
      </c>
      <c r="L37">
        <v>5.0970999999999999E-10</v>
      </c>
      <c r="M37">
        <v>5.0953500000000004E-10</v>
      </c>
      <c r="N37">
        <v>5.0946000000000002E-10</v>
      </c>
      <c r="O37">
        <v>5.0932670000000002E-10</v>
      </c>
      <c r="P37" s="36">
        <v>5.092183E-10</v>
      </c>
      <c r="Q37" s="36">
        <v>5.0909329999999996E-10</v>
      </c>
      <c r="R37" s="36">
        <v>5.0882669999999997E-10</v>
      </c>
      <c r="S37" s="36">
        <v>5.0868499999999999E-10</v>
      </c>
      <c r="T37" s="36">
        <v>5.088933E-10</v>
      </c>
      <c r="U37">
        <v>5.0944329999999997E-10</v>
      </c>
      <c r="V37">
        <v>5.0902670000000003E-10</v>
      </c>
      <c r="W37">
        <v>5.0915169999999997E-10</v>
      </c>
      <c r="X37">
        <v>5.0922669999999999E-10</v>
      </c>
      <c r="Y37">
        <v>5.0895999999999997E-10</v>
      </c>
      <c r="Z37" s="36">
        <v>5.105683E-10</v>
      </c>
      <c r="AA37" s="36">
        <v>5.1024330000000001E-10</v>
      </c>
      <c r="AB37" s="36">
        <v>5.1016829999999998E-10</v>
      </c>
      <c r="AC37" s="36">
        <v>5.098933E-10</v>
      </c>
      <c r="AD37" s="36">
        <v>5.0976000000000001E-10</v>
      </c>
      <c r="AE37">
        <v>5.1065999999999997E-10</v>
      </c>
      <c r="AF37">
        <v>5.1028499999999996E-10</v>
      </c>
      <c r="AG37">
        <v>5.1030999999999997E-10</v>
      </c>
      <c r="AH37">
        <v>5.1033499999999998E-10</v>
      </c>
      <c r="AI37">
        <v>5.1035170000000003E-10</v>
      </c>
      <c r="AJ37" s="36">
        <v>5.1165170000000001E-10</v>
      </c>
      <c r="AK37" s="36">
        <v>5.1103499999999998E-10</v>
      </c>
      <c r="AL37" s="36">
        <v>5.1091000000000005E-10</v>
      </c>
      <c r="AM37" s="36">
        <v>5.1099330000000003E-10</v>
      </c>
      <c r="AN37" s="36">
        <v>5.108933E-10</v>
      </c>
      <c r="AO37">
        <v>5.0927670000000001E-10</v>
      </c>
      <c r="AP37">
        <v>5.0895170000000001E-10</v>
      </c>
      <c r="AQ37">
        <v>5.0879329999999997E-10</v>
      </c>
      <c r="AR37">
        <v>5.0876000000000001E-10</v>
      </c>
      <c r="AS37">
        <v>5.0882669999999997E-10</v>
      </c>
      <c r="AT37" s="36">
        <v>5.11085E-10</v>
      </c>
      <c r="AU37" s="36">
        <v>5.1079329999999997E-10</v>
      </c>
      <c r="AV37" s="36">
        <v>5.1071830000000005E-10</v>
      </c>
      <c r="AW37" s="36">
        <v>5.1070999999999999E-10</v>
      </c>
      <c r="AX37" s="36">
        <v>5.106017E-10</v>
      </c>
      <c r="AY37">
        <v>5.1121829999999999E-10</v>
      </c>
      <c r="AZ37">
        <v>5.105683E-10</v>
      </c>
      <c r="BA37">
        <v>5.1070999999999999E-10</v>
      </c>
      <c r="BB37">
        <v>5.1068499999999998E-10</v>
      </c>
      <c r="BC37">
        <v>5.109517E-10</v>
      </c>
      <c r="BD37" s="36">
        <v>5.1209329999999995E-10</v>
      </c>
      <c r="BE37" s="36">
        <v>5.1158500000000005E-10</v>
      </c>
      <c r="BF37" s="36">
        <v>5.1135170000000002E-10</v>
      </c>
      <c r="BG37" s="36">
        <v>5.11435E-10</v>
      </c>
      <c r="BH37" s="36">
        <v>5.1157669999999999E-10</v>
      </c>
      <c r="BI37">
        <v>5.122767E-10</v>
      </c>
      <c r="BJ37">
        <v>5.1220169999999997E-10</v>
      </c>
      <c r="BK37">
        <v>5.1204330000000004E-10</v>
      </c>
      <c r="BL37">
        <v>5.1207670000000004E-10</v>
      </c>
      <c r="BM37">
        <v>5.1191000000000004E-10</v>
      </c>
      <c r="BN37" s="36">
        <v>5.13785E-10</v>
      </c>
      <c r="BO37" s="36">
        <v>5.133883E-10</v>
      </c>
      <c r="BP37" s="36">
        <v>5.1306669999999995E-10</v>
      </c>
      <c r="BQ37" s="36">
        <v>5.1325749999999997E-10</v>
      </c>
      <c r="BR37" s="36">
        <v>5.1310829999999997E-10</v>
      </c>
    </row>
    <row r="38" spans="1:70" x14ac:dyDescent="0.15">
      <c r="A38">
        <v>5.1211E-10</v>
      </c>
      <c r="B38">
        <v>5.1200170000000001E-10</v>
      </c>
      <c r="C38">
        <v>5.1172670000000003E-10</v>
      </c>
      <c r="D38">
        <v>5.1181829999999997E-10</v>
      </c>
      <c r="E38">
        <v>5.1181829999999997E-10</v>
      </c>
      <c r="F38" s="36">
        <v>5.1076E-10</v>
      </c>
      <c r="G38" s="36">
        <v>5.1036830000000004E-10</v>
      </c>
      <c r="H38" s="36">
        <v>5.1018500000000003E-10</v>
      </c>
      <c r="I38" s="36">
        <v>5.1014329999999997E-10</v>
      </c>
      <c r="J38" s="36">
        <v>5.1041E-10</v>
      </c>
      <c r="K38">
        <v>5.0995170000000001E-10</v>
      </c>
      <c r="L38">
        <v>5.0953500000000004E-10</v>
      </c>
      <c r="M38">
        <v>5.0961830000000002E-10</v>
      </c>
      <c r="N38">
        <v>5.0935170000000003E-10</v>
      </c>
      <c r="O38">
        <v>5.0935999999999999E-10</v>
      </c>
      <c r="P38" s="36">
        <v>5.0941E-10</v>
      </c>
      <c r="Q38" s="36">
        <v>5.0880169999999996E-10</v>
      </c>
      <c r="R38" s="36">
        <v>5.0915169999999997E-10</v>
      </c>
      <c r="S38" s="36">
        <v>5.0895999999999997E-10</v>
      </c>
      <c r="T38" s="36">
        <v>5.0870999999999999E-10</v>
      </c>
      <c r="U38">
        <v>5.0917669999999998E-10</v>
      </c>
      <c r="V38">
        <v>5.0895170000000001E-10</v>
      </c>
      <c r="W38">
        <v>5.0888500000000005E-10</v>
      </c>
      <c r="X38">
        <v>5.0915169999999997E-10</v>
      </c>
      <c r="Y38">
        <v>5.0870170000000004E-10</v>
      </c>
      <c r="Z38" s="36">
        <v>5.1031830000000003E-10</v>
      </c>
      <c r="AA38" s="36">
        <v>5.0995999999999996E-10</v>
      </c>
      <c r="AB38" s="36">
        <v>5.0981000000000002E-10</v>
      </c>
      <c r="AC38" s="36">
        <v>5.1005999999999999E-10</v>
      </c>
      <c r="AD38" s="36">
        <v>5.1011000000000001E-10</v>
      </c>
      <c r="AE38">
        <v>5.1098499999999997E-10</v>
      </c>
      <c r="AF38">
        <v>5.1053500000000004E-10</v>
      </c>
      <c r="AG38">
        <v>5.1067670000000002E-10</v>
      </c>
      <c r="AH38">
        <v>5.102767E-10</v>
      </c>
      <c r="AI38">
        <v>5.1056000000000004E-10</v>
      </c>
      <c r="AJ38" s="36">
        <v>5.11435E-10</v>
      </c>
      <c r="AK38" s="36">
        <v>5.1137670000000003E-10</v>
      </c>
      <c r="AL38" s="36">
        <v>5.1099330000000003E-10</v>
      </c>
      <c r="AM38" s="36">
        <v>5.1126830000000001E-10</v>
      </c>
      <c r="AN38" s="36">
        <v>5.1077669999999995E-10</v>
      </c>
      <c r="AO38">
        <v>5.0956830000000001E-10</v>
      </c>
      <c r="AP38">
        <v>5.088933E-10</v>
      </c>
      <c r="AQ38">
        <v>5.0898499999999997E-10</v>
      </c>
      <c r="AR38">
        <v>5.088683E-10</v>
      </c>
      <c r="AS38">
        <v>5.0877669999999996E-10</v>
      </c>
      <c r="AT38" s="36">
        <v>5.1103499999999998E-10</v>
      </c>
      <c r="AU38" s="36">
        <v>5.1036830000000004E-10</v>
      </c>
      <c r="AV38" s="36">
        <v>5.1064330000000002E-10</v>
      </c>
      <c r="AW38" s="36">
        <v>5.106017E-10</v>
      </c>
      <c r="AX38" s="36">
        <v>5.1030999999999997E-10</v>
      </c>
      <c r="AY38">
        <v>5.1130170000000001E-10</v>
      </c>
      <c r="AZ38">
        <v>5.1076E-10</v>
      </c>
      <c r="BA38">
        <v>5.1103499999999998E-10</v>
      </c>
      <c r="BB38">
        <v>5.1071830000000005E-10</v>
      </c>
      <c r="BC38">
        <v>5.108933E-10</v>
      </c>
      <c r="BD38" s="36">
        <v>5.1221000000000003E-10</v>
      </c>
      <c r="BE38" s="36">
        <v>5.1156000000000004E-10</v>
      </c>
      <c r="BF38" s="36">
        <v>5.1150169999999996E-10</v>
      </c>
      <c r="BG38" s="36">
        <v>5.1139330000000005E-10</v>
      </c>
      <c r="BH38" s="36">
        <v>5.1149329999999998E-10</v>
      </c>
      <c r="BI38">
        <v>5.1282669999999996E-10</v>
      </c>
      <c r="BJ38">
        <v>5.1251829999999998E-10</v>
      </c>
      <c r="BK38">
        <v>5.1250169999999996E-10</v>
      </c>
      <c r="BL38">
        <v>5.1214329999999997E-10</v>
      </c>
      <c r="BM38">
        <v>5.1207670000000004E-10</v>
      </c>
      <c r="BN38" s="36">
        <v>5.1396670000000002E-10</v>
      </c>
      <c r="BO38" s="36">
        <v>5.1298499999999996E-10</v>
      </c>
      <c r="BP38" s="36">
        <v>5.1345580000000001E-10</v>
      </c>
      <c r="BQ38" s="36">
        <v>5.1325670000000003E-10</v>
      </c>
      <c r="BR38" s="36">
        <v>5.1333170000000005E-10</v>
      </c>
    </row>
    <row r="39" spans="1:70" x14ac:dyDescent="0.15">
      <c r="A39">
        <v>5.1198499999999996E-10</v>
      </c>
      <c r="B39">
        <v>5.1190169999999998E-10</v>
      </c>
      <c r="C39">
        <v>5.1218500000000003E-10</v>
      </c>
      <c r="D39">
        <v>5.1203499999999998E-10</v>
      </c>
      <c r="E39">
        <v>5.1197670000000001E-10</v>
      </c>
      <c r="F39" s="36">
        <v>5.1047669999999996E-10</v>
      </c>
      <c r="G39" s="36">
        <v>5.1000170000000002E-10</v>
      </c>
      <c r="H39" s="36">
        <v>5.1035170000000003E-10</v>
      </c>
      <c r="I39" s="36">
        <v>5.1013500000000002E-10</v>
      </c>
      <c r="J39" s="36">
        <v>5.1016829999999998E-10</v>
      </c>
      <c r="K39">
        <v>5.0968499999999998E-10</v>
      </c>
      <c r="L39">
        <v>5.0951000000000003E-10</v>
      </c>
      <c r="M39">
        <v>5.0946829999999997E-10</v>
      </c>
      <c r="N39">
        <v>5.0944329999999997E-10</v>
      </c>
      <c r="O39">
        <v>5.0933499999999998E-10</v>
      </c>
      <c r="P39" s="36">
        <v>5.0970170000000003E-10</v>
      </c>
      <c r="Q39" s="36">
        <v>5.0906829999999996E-10</v>
      </c>
      <c r="R39" s="36">
        <v>5.0917669999999998E-10</v>
      </c>
      <c r="S39" s="36">
        <v>5.0896830000000003E-10</v>
      </c>
      <c r="T39" s="36">
        <v>5.0902670000000003E-10</v>
      </c>
      <c r="U39">
        <v>5.0924330000000001E-10</v>
      </c>
      <c r="V39">
        <v>5.0875170000000005E-10</v>
      </c>
      <c r="W39">
        <v>5.0911829999999997E-10</v>
      </c>
      <c r="X39">
        <v>5.0870170000000004E-10</v>
      </c>
      <c r="Y39">
        <v>5.0869330000000005E-10</v>
      </c>
      <c r="Z39" s="36">
        <v>5.1037670000000003E-10</v>
      </c>
      <c r="AA39" s="36">
        <v>5.099267E-10</v>
      </c>
      <c r="AB39" s="36">
        <v>5.1009329999999996E-10</v>
      </c>
      <c r="AC39" s="36">
        <v>5.098933E-10</v>
      </c>
      <c r="AD39" s="36">
        <v>5.0978500000000001E-10</v>
      </c>
      <c r="AE39">
        <v>5.1081000000000002E-10</v>
      </c>
      <c r="AF39">
        <v>5.1041E-10</v>
      </c>
      <c r="AG39">
        <v>5.1046829999999997E-10</v>
      </c>
      <c r="AH39">
        <v>5.1064330000000002E-10</v>
      </c>
      <c r="AI39">
        <v>5.1034330000000004E-10</v>
      </c>
      <c r="AJ39" s="36">
        <v>5.1183500000000002E-10</v>
      </c>
      <c r="AK39" s="36">
        <v>5.1116829999999998E-10</v>
      </c>
      <c r="AL39" s="36">
        <v>5.1112669999999995E-10</v>
      </c>
      <c r="AM39" s="36">
        <v>5.1117669999999997E-10</v>
      </c>
      <c r="AN39" s="36">
        <v>5.1133499999999997E-10</v>
      </c>
      <c r="AO39">
        <v>5.0949329999999998E-10</v>
      </c>
      <c r="AP39">
        <v>5.0895999999999997E-10</v>
      </c>
      <c r="AQ39">
        <v>5.0865170000000002E-10</v>
      </c>
      <c r="AR39">
        <v>5.0874329999999996E-10</v>
      </c>
      <c r="AS39">
        <v>5.0867670000000003E-10</v>
      </c>
      <c r="AT39" s="36">
        <v>5.1100999999999998E-10</v>
      </c>
      <c r="AU39" s="36">
        <v>5.1049329999999998E-10</v>
      </c>
      <c r="AV39" s="36">
        <v>5.1055169999999998E-10</v>
      </c>
      <c r="AW39" s="36">
        <v>5.1055169999999998E-10</v>
      </c>
      <c r="AX39" s="36">
        <v>5.105683E-10</v>
      </c>
      <c r="AY39">
        <v>5.1142670000000005E-10</v>
      </c>
      <c r="AZ39">
        <v>5.1094330000000001E-10</v>
      </c>
      <c r="BA39">
        <v>5.1097670000000001E-10</v>
      </c>
      <c r="BB39">
        <v>5.1095999999999996E-10</v>
      </c>
      <c r="BC39">
        <v>5.1104330000000004E-10</v>
      </c>
      <c r="BD39" s="36">
        <v>5.1216829999999998E-10</v>
      </c>
      <c r="BE39" s="36">
        <v>5.1155169999999998E-10</v>
      </c>
      <c r="BF39" s="36">
        <v>5.1155169999999998E-10</v>
      </c>
      <c r="BG39" s="36">
        <v>5.1176E-10</v>
      </c>
      <c r="BH39" s="36">
        <v>5.1165999999999997E-10</v>
      </c>
      <c r="BI39">
        <v>5.1271830000000004E-10</v>
      </c>
      <c r="BJ39">
        <v>5.1240999999999999E-10</v>
      </c>
      <c r="BK39">
        <v>5.1228499999999995E-10</v>
      </c>
      <c r="BL39">
        <v>5.1242670000000004E-10</v>
      </c>
      <c r="BM39">
        <v>5.1218500000000003E-10</v>
      </c>
      <c r="BN39" s="36">
        <v>5.1387579999999999E-10</v>
      </c>
      <c r="BO39" s="36">
        <v>5.1346920000000004E-10</v>
      </c>
      <c r="BP39" s="36">
        <v>5.1343830000000001E-10</v>
      </c>
      <c r="BQ39" s="36">
        <v>5.1304249999999999E-10</v>
      </c>
      <c r="BR39" s="36">
        <v>5.1323999999999998E-10</v>
      </c>
    </row>
    <row r="40" spans="1:70" x14ac:dyDescent="0.15">
      <c r="A40">
        <v>5.1235999999999998E-10</v>
      </c>
      <c r="B40">
        <v>5.1182669999999996E-10</v>
      </c>
      <c r="C40">
        <v>5.1188500000000004E-10</v>
      </c>
      <c r="D40">
        <v>5.1190169999999998E-10</v>
      </c>
      <c r="E40">
        <v>5.1200170000000001E-10</v>
      </c>
      <c r="F40" s="36">
        <v>5.1061830000000002E-10</v>
      </c>
      <c r="G40" s="36">
        <v>5.1002670000000003E-10</v>
      </c>
      <c r="H40" s="36">
        <v>5.1041E-10</v>
      </c>
      <c r="I40" s="36">
        <v>5.1041E-10</v>
      </c>
      <c r="J40" s="36">
        <v>5.1036830000000004E-10</v>
      </c>
      <c r="K40">
        <v>5.0964330000000003E-10</v>
      </c>
      <c r="L40">
        <v>5.0916829999999999E-10</v>
      </c>
      <c r="M40">
        <v>5.0921000000000004E-10</v>
      </c>
      <c r="N40">
        <v>5.0936830000000005E-10</v>
      </c>
      <c r="O40">
        <v>5.0906E-10</v>
      </c>
      <c r="P40" s="36">
        <v>5.0931830000000003E-10</v>
      </c>
      <c r="Q40" s="36">
        <v>5.0893499999999996E-10</v>
      </c>
      <c r="R40" s="36">
        <v>5.0904330000000005E-10</v>
      </c>
      <c r="S40" s="36">
        <v>5.0938499999999999E-10</v>
      </c>
      <c r="T40" s="36">
        <v>5.0902670000000003E-10</v>
      </c>
      <c r="U40">
        <v>5.0940170000000004E-10</v>
      </c>
      <c r="V40">
        <v>5.0885169999999998E-10</v>
      </c>
      <c r="W40">
        <v>5.0904330000000005E-10</v>
      </c>
      <c r="X40">
        <v>5.0864330000000003E-10</v>
      </c>
      <c r="Y40">
        <v>5.0894330000000002E-10</v>
      </c>
      <c r="Z40" s="36">
        <v>5.1054329999999999E-10</v>
      </c>
      <c r="AA40" s="36">
        <v>5.1022669999999999E-10</v>
      </c>
      <c r="AB40" s="36">
        <v>5.099267E-10</v>
      </c>
      <c r="AC40" s="36">
        <v>5.0985169999999998E-10</v>
      </c>
      <c r="AD40" s="36">
        <v>5.0987669999999998E-10</v>
      </c>
      <c r="AE40">
        <v>5.1078500000000001E-10</v>
      </c>
      <c r="AF40">
        <v>5.1052669999999998E-10</v>
      </c>
      <c r="AG40">
        <v>5.1074329999999995E-10</v>
      </c>
      <c r="AH40">
        <v>5.1063499999999996E-10</v>
      </c>
      <c r="AI40">
        <v>5.1030999999999997E-10</v>
      </c>
      <c r="AJ40" s="36">
        <v>5.1175170000000004E-10</v>
      </c>
      <c r="AK40" s="36">
        <v>5.1132670000000001E-10</v>
      </c>
      <c r="AL40" s="36">
        <v>5.1101830000000004E-10</v>
      </c>
      <c r="AM40" s="36">
        <v>5.1093499999999995E-10</v>
      </c>
      <c r="AN40" s="36">
        <v>5.109267E-10</v>
      </c>
      <c r="AO40">
        <v>5.0925999999999996E-10</v>
      </c>
      <c r="AP40">
        <v>5.0878500000000002E-10</v>
      </c>
      <c r="AQ40">
        <v>5.085767E-10</v>
      </c>
      <c r="AR40">
        <v>5.0903499999999999E-10</v>
      </c>
      <c r="AS40">
        <v>5.0865999999999998E-10</v>
      </c>
      <c r="AT40" s="36">
        <v>5.1071830000000005E-10</v>
      </c>
      <c r="AU40" s="36">
        <v>5.1060999999999996E-10</v>
      </c>
      <c r="AV40" s="36">
        <v>5.1016000000000003E-10</v>
      </c>
      <c r="AW40" s="36">
        <v>5.1014329999999997E-10</v>
      </c>
      <c r="AX40" s="36">
        <v>5.1032670000000002E-10</v>
      </c>
      <c r="AY40">
        <v>5.1138499999999999E-10</v>
      </c>
      <c r="AZ40">
        <v>5.1083500000000003E-10</v>
      </c>
      <c r="BA40">
        <v>5.1146000000000001E-10</v>
      </c>
      <c r="BB40">
        <v>5.1084329999999998E-10</v>
      </c>
      <c r="BC40">
        <v>5.1093499999999995E-10</v>
      </c>
      <c r="BD40" s="36">
        <v>5.12085E-10</v>
      </c>
      <c r="BE40" s="36">
        <v>5.1175170000000004E-10</v>
      </c>
      <c r="BF40" s="36">
        <v>5.115683E-10</v>
      </c>
      <c r="BG40" s="36">
        <v>5.1166830000000003E-10</v>
      </c>
      <c r="BH40" s="36">
        <v>5.1181829999999997E-10</v>
      </c>
      <c r="BI40">
        <v>5.1291749999999995E-10</v>
      </c>
      <c r="BJ40">
        <v>5.1277670000000005E-10</v>
      </c>
      <c r="BK40">
        <v>5.126267E-10</v>
      </c>
      <c r="BL40">
        <v>5.1251829999999998E-10</v>
      </c>
      <c r="BM40">
        <v>5.1273499999999999E-10</v>
      </c>
      <c r="BN40" s="36">
        <v>5.1377500000000002E-10</v>
      </c>
      <c r="BO40" s="36">
        <v>5.133708E-10</v>
      </c>
      <c r="BP40" s="36">
        <v>5.1320919999999998E-10</v>
      </c>
      <c r="BQ40" s="36">
        <v>5.1327420000000002E-10</v>
      </c>
      <c r="BR40" s="36">
        <v>5.1332169999999996E-10</v>
      </c>
    </row>
    <row r="41" spans="1:70" x14ac:dyDescent="0.15">
      <c r="A41">
        <v>5.1200170000000001E-10</v>
      </c>
      <c r="B41">
        <v>5.1205170000000003E-10</v>
      </c>
      <c r="C41">
        <v>5.1194330000000001E-10</v>
      </c>
      <c r="D41">
        <v>5.1225169999999999E-10</v>
      </c>
      <c r="E41">
        <v>5.1206830000000005E-10</v>
      </c>
      <c r="F41" s="36">
        <v>5.1068499999999998E-10</v>
      </c>
      <c r="G41" s="36">
        <v>5.1007670000000004E-10</v>
      </c>
      <c r="H41" s="36">
        <v>5.1035170000000003E-10</v>
      </c>
      <c r="I41" s="36">
        <v>5.1009329999999996E-10</v>
      </c>
      <c r="J41" s="36">
        <v>5.1001830000000004E-10</v>
      </c>
      <c r="K41">
        <v>5.0946829999999997E-10</v>
      </c>
      <c r="L41">
        <v>5.092517E-10</v>
      </c>
      <c r="M41">
        <v>5.0917669999999998E-10</v>
      </c>
      <c r="N41">
        <v>5.0906829999999996E-10</v>
      </c>
      <c r="O41">
        <v>5.0926830000000002E-10</v>
      </c>
      <c r="P41" s="36">
        <v>5.0942669999999995E-10</v>
      </c>
      <c r="Q41" s="36">
        <v>5.0934330000000004E-10</v>
      </c>
      <c r="R41" s="36">
        <v>5.0906E-10</v>
      </c>
      <c r="S41" s="36">
        <v>5.0914329999999998E-10</v>
      </c>
      <c r="T41" s="36">
        <v>5.0905170000000004E-10</v>
      </c>
      <c r="U41">
        <v>5.0928499999999996E-10</v>
      </c>
      <c r="V41">
        <v>5.0904330000000005E-10</v>
      </c>
      <c r="W41">
        <v>5.0909329999999996E-10</v>
      </c>
      <c r="X41">
        <v>5.0872670000000004E-10</v>
      </c>
      <c r="Y41">
        <v>5.0883500000000003E-10</v>
      </c>
      <c r="Z41" s="36">
        <v>5.1036830000000004E-10</v>
      </c>
      <c r="AA41" s="36">
        <v>5.1011829999999997E-10</v>
      </c>
      <c r="AB41" s="36">
        <v>5.1015169999999996E-10</v>
      </c>
      <c r="AC41" s="36">
        <v>5.1020169999999998E-10</v>
      </c>
      <c r="AD41" s="36">
        <v>5.1000999999999998E-10</v>
      </c>
      <c r="AE41">
        <v>5.1140170000000004E-10</v>
      </c>
      <c r="AF41">
        <v>5.1044329999999996E-10</v>
      </c>
      <c r="AG41">
        <v>5.1066830000000003E-10</v>
      </c>
      <c r="AH41">
        <v>5.1076E-10</v>
      </c>
      <c r="AI41">
        <v>5.1051829999999999E-10</v>
      </c>
      <c r="AJ41" s="36">
        <v>5.1133499999999997E-10</v>
      </c>
      <c r="AK41" s="36">
        <v>5.1101830000000004E-10</v>
      </c>
      <c r="AL41" s="36">
        <v>5.1100999999999998E-10</v>
      </c>
      <c r="AM41" s="36">
        <v>5.1122669999999998E-10</v>
      </c>
      <c r="AN41" s="36">
        <v>5.1107670000000004E-10</v>
      </c>
      <c r="AO41">
        <v>5.0900999999999998E-10</v>
      </c>
      <c r="AP41">
        <v>5.0867670000000003E-10</v>
      </c>
      <c r="AQ41">
        <v>5.0894330000000002E-10</v>
      </c>
      <c r="AR41">
        <v>5.0871829999999995E-10</v>
      </c>
      <c r="AS41">
        <v>5.0870170000000004E-10</v>
      </c>
      <c r="AT41" s="36">
        <v>5.1085169999999997E-10</v>
      </c>
      <c r="AU41" s="36">
        <v>5.1024330000000001E-10</v>
      </c>
      <c r="AV41" s="36">
        <v>5.1025169999999999E-10</v>
      </c>
      <c r="AW41" s="36">
        <v>5.1030999999999997E-10</v>
      </c>
      <c r="AX41" s="36">
        <v>5.1038499999999999E-10</v>
      </c>
      <c r="AY41">
        <v>5.1125999999999995E-10</v>
      </c>
      <c r="AZ41">
        <v>5.108933E-10</v>
      </c>
      <c r="BA41">
        <v>5.1102670000000003E-10</v>
      </c>
      <c r="BB41">
        <v>5.1069330000000004E-10</v>
      </c>
      <c r="BC41">
        <v>5.1100999999999998E-10</v>
      </c>
      <c r="BD41" s="36">
        <v>5.1251000000000002E-10</v>
      </c>
      <c r="BE41" s="36">
        <v>5.1186829999999999E-10</v>
      </c>
      <c r="BF41" s="36">
        <v>5.1174329999999995E-10</v>
      </c>
      <c r="BG41" s="36">
        <v>5.12085E-10</v>
      </c>
      <c r="BH41" s="36">
        <v>5.1161830000000001E-10</v>
      </c>
      <c r="BI41">
        <v>5.1308420000000005E-10</v>
      </c>
      <c r="BJ41">
        <v>5.1235170000000002E-10</v>
      </c>
      <c r="BK41">
        <v>5.129517E-10</v>
      </c>
      <c r="BL41">
        <v>5.12435E-10</v>
      </c>
      <c r="BM41">
        <v>5.1235999999999998E-10</v>
      </c>
      <c r="BN41" s="36">
        <v>5.1372580000000005E-10</v>
      </c>
      <c r="BO41" s="36">
        <v>5.1338000000000004E-10</v>
      </c>
      <c r="BP41" s="36">
        <v>5.1311669999999996E-10</v>
      </c>
      <c r="BQ41" s="36">
        <v>5.1317500000000004E-10</v>
      </c>
      <c r="BR41" s="36">
        <v>5.1342920000000001E-10</v>
      </c>
    </row>
    <row r="42" spans="1:70" x14ac:dyDescent="0.15">
      <c r="A42">
        <v>5.123017E-10</v>
      </c>
      <c r="B42">
        <v>5.12085E-10</v>
      </c>
      <c r="C42">
        <v>5.1176829999999996E-10</v>
      </c>
      <c r="D42">
        <v>5.1225169999999999E-10</v>
      </c>
      <c r="E42">
        <v>5.1183500000000002E-10</v>
      </c>
      <c r="F42" s="36">
        <v>5.1076E-10</v>
      </c>
      <c r="G42" s="36">
        <v>5.1041E-10</v>
      </c>
      <c r="H42" s="36">
        <v>5.1030999999999997E-10</v>
      </c>
      <c r="I42" s="36">
        <v>5.1007670000000004E-10</v>
      </c>
      <c r="J42" s="36">
        <v>5.0990169999999999E-10</v>
      </c>
      <c r="K42">
        <v>5.0956000000000005E-10</v>
      </c>
      <c r="L42">
        <v>5.0933499999999998E-10</v>
      </c>
      <c r="M42">
        <v>5.0925999999999996E-10</v>
      </c>
      <c r="N42">
        <v>5.0930999999999997E-10</v>
      </c>
      <c r="O42">
        <v>5.0915169999999997E-10</v>
      </c>
      <c r="P42" s="36">
        <v>5.096017E-10</v>
      </c>
      <c r="Q42" s="36">
        <v>5.0906E-10</v>
      </c>
      <c r="R42" s="36">
        <v>5.0930999999999997E-10</v>
      </c>
      <c r="S42" s="36">
        <v>5.0912669999999996E-10</v>
      </c>
      <c r="T42" s="36">
        <v>5.0883500000000003E-10</v>
      </c>
      <c r="U42">
        <v>5.0950169999999997E-10</v>
      </c>
      <c r="V42">
        <v>5.0881000000000002E-10</v>
      </c>
      <c r="W42">
        <v>5.0905170000000004E-10</v>
      </c>
      <c r="X42">
        <v>5.0880169999999996E-10</v>
      </c>
      <c r="Y42">
        <v>5.0840170000000005E-10</v>
      </c>
      <c r="Z42" s="36">
        <v>5.1034330000000004E-10</v>
      </c>
      <c r="AA42" s="36">
        <v>5.0999330000000003E-10</v>
      </c>
      <c r="AB42" s="36">
        <v>5.1019329999999999E-10</v>
      </c>
      <c r="AC42" s="36">
        <v>5.0990169999999999E-10</v>
      </c>
      <c r="AD42" s="36">
        <v>5.0996830000000002E-10</v>
      </c>
      <c r="AE42">
        <v>5.1085169999999997E-10</v>
      </c>
      <c r="AF42">
        <v>5.1013500000000002E-10</v>
      </c>
      <c r="AG42">
        <v>5.1065999999999997E-10</v>
      </c>
      <c r="AH42">
        <v>5.1046000000000001E-10</v>
      </c>
      <c r="AI42">
        <v>5.1061830000000002E-10</v>
      </c>
      <c r="AJ42" s="36">
        <v>5.11435E-10</v>
      </c>
      <c r="AK42" s="36">
        <v>5.11085E-10</v>
      </c>
      <c r="AL42" s="36">
        <v>5.1106829999999995E-10</v>
      </c>
      <c r="AM42" s="36">
        <v>5.1052669999999998E-10</v>
      </c>
      <c r="AN42" s="36">
        <v>5.1081829999999998E-10</v>
      </c>
      <c r="AO42">
        <v>5.0911000000000001E-10</v>
      </c>
      <c r="AP42">
        <v>5.0896830000000003E-10</v>
      </c>
      <c r="AQ42">
        <v>5.0863499999999997E-10</v>
      </c>
      <c r="AR42">
        <v>5.0900999999999998E-10</v>
      </c>
      <c r="AS42">
        <v>5.08735E-10</v>
      </c>
      <c r="AT42" s="36">
        <v>5.1034330000000004E-10</v>
      </c>
      <c r="AU42" s="36">
        <v>5.1037670000000003E-10</v>
      </c>
      <c r="AV42" s="36">
        <v>5.1037670000000003E-10</v>
      </c>
      <c r="AW42" s="36">
        <v>5.0995170000000001E-10</v>
      </c>
      <c r="AX42" s="36">
        <v>5.1033499999999998E-10</v>
      </c>
      <c r="AY42">
        <v>5.1136830000000004E-10</v>
      </c>
      <c r="AZ42">
        <v>5.1112669999999995E-10</v>
      </c>
      <c r="BA42">
        <v>5.1079329999999997E-10</v>
      </c>
      <c r="BB42">
        <v>5.1100170000000002E-10</v>
      </c>
      <c r="BC42">
        <v>5.1076829999999996E-10</v>
      </c>
      <c r="BD42" s="36">
        <v>5.1231830000000002E-10</v>
      </c>
      <c r="BE42" s="36">
        <v>5.1192669999999999E-10</v>
      </c>
      <c r="BF42" s="36">
        <v>5.1146829999999997E-10</v>
      </c>
      <c r="BG42" s="36">
        <v>5.1198499999999996E-10</v>
      </c>
      <c r="BH42" s="36">
        <v>5.1181000000000001E-10</v>
      </c>
      <c r="BI42">
        <v>5.1317330000000002E-10</v>
      </c>
      <c r="BJ42">
        <v>5.1273499999999999E-10</v>
      </c>
      <c r="BK42">
        <v>5.126267E-10</v>
      </c>
      <c r="BL42">
        <v>5.1257669999999998E-10</v>
      </c>
      <c r="BM42">
        <v>5.1257669999999998E-10</v>
      </c>
      <c r="BN42" s="36">
        <v>5.1391000000000004E-10</v>
      </c>
      <c r="BO42" s="36">
        <v>5.1337419999999995E-10</v>
      </c>
      <c r="BP42" s="36">
        <v>5.1314169999999997E-10</v>
      </c>
      <c r="BQ42" s="36">
        <v>5.1326499999999998E-10</v>
      </c>
      <c r="BR42" s="36">
        <v>5.133883E-10</v>
      </c>
    </row>
    <row r="43" spans="1:70" x14ac:dyDescent="0.15">
      <c r="A43">
        <v>5.122767E-10</v>
      </c>
      <c r="B43">
        <v>5.1180169999999995E-10</v>
      </c>
      <c r="C43">
        <v>5.1190169999999998E-10</v>
      </c>
      <c r="D43">
        <v>5.1187669999999998E-10</v>
      </c>
      <c r="E43">
        <v>5.1189329999999999E-10</v>
      </c>
      <c r="F43" s="36">
        <v>5.1046000000000001E-10</v>
      </c>
      <c r="G43" s="36">
        <v>5.102183E-10</v>
      </c>
      <c r="H43" s="36">
        <v>5.1002670000000003E-10</v>
      </c>
      <c r="I43" s="36">
        <v>5.1025169999999999E-10</v>
      </c>
      <c r="J43" s="36">
        <v>5.0974329999999996E-10</v>
      </c>
      <c r="K43">
        <v>5.0962670000000001E-10</v>
      </c>
      <c r="L43">
        <v>5.0951000000000003E-10</v>
      </c>
      <c r="M43">
        <v>5.0927670000000001E-10</v>
      </c>
      <c r="N43">
        <v>5.0917669999999998E-10</v>
      </c>
      <c r="O43">
        <v>5.0902670000000003E-10</v>
      </c>
      <c r="P43" s="36">
        <v>5.0959330000000001E-10</v>
      </c>
      <c r="Q43" s="36">
        <v>5.092517E-10</v>
      </c>
      <c r="R43" s="36">
        <v>5.0907670000000005E-10</v>
      </c>
      <c r="S43" s="36">
        <v>5.0910169999999995E-10</v>
      </c>
      <c r="T43" s="36">
        <v>5.0905170000000004E-10</v>
      </c>
      <c r="U43">
        <v>5.0935170000000003E-10</v>
      </c>
      <c r="V43">
        <v>5.0884329999999999E-10</v>
      </c>
      <c r="W43">
        <v>5.0893499999999996E-10</v>
      </c>
      <c r="X43">
        <v>5.0912669999999996E-10</v>
      </c>
      <c r="Y43">
        <v>5.0906E-10</v>
      </c>
      <c r="Z43" s="36">
        <v>5.1037670000000003E-10</v>
      </c>
      <c r="AA43" s="36">
        <v>5.1011829999999997E-10</v>
      </c>
      <c r="AB43" s="36">
        <v>5.1002670000000003E-10</v>
      </c>
      <c r="AC43" s="36">
        <v>5.0995170000000001E-10</v>
      </c>
      <c r="AD43" s="36">
        <v>5.0986829999999999E-10</v>
      </c>
      <c r="AE43">
        <v>5.108933E-10</v>
      </c>
      <c r="AF43">
        <v>5.1102670000000003E-10</v>
      </c>
      <c r="AG43">
        <v>5.106017E-10</v>
      </c>
      <c r="AH43">
        <v>5.1075170000000004E-10</v>
      </c>
      <c r="AI43">
        <v>5.1035999999999998E-10</v>
      </c>
      <c r="AJ43" s="36">
        <v>5.1132670000000001E-10</v>
      </c>
      <c r="AK43" s="36">
        <v>5.1088500000000004E-10</v>
      </c>
      <c r="AL43" s="36">
        <v>5.1054329999999999E-10</v>
      </c>
      <c r="AM43" s="36">
        <v>5.1073499999999999E-10</v>
      </c>
      <c r="AN43" s="36">
        <v>5.1065170000000001E-10</v>
      </c>
      <c r="AO43">
        <v>5.0923500000000005E-10</v>
      </c>
      <c r="AP43">
        <v>5.0874329999999996E-10</v>
      </c>
      <c r="AQ43">
        <v>5.0875170000000005E-10</v>
      </c>
      <c r="AR43">
        <v>5.0866830000000004E-10</v>
      </c>
      <c r="AS43">
        <v>5.0867670000000003E-10</v>
      </c>
      <c r="AT43" s="36">
        <v>5.1059330000000001E-10</v>
      </c>
      <c r="AU43" s="36">
        <v>5.1029330000000002E-10</v>
      </c>
      <c r="AV43" s="36">
        <v>5.1009329999999996E-10</v>
      </c>
      <c r="AW43" s="36">
        <v>5.1003499999999999E-10</v>
      </c>
      <c r="AX43" s="36">
        <v>5.1047669999999996E-10</v>
      </c>
      <c r="AY43">
        <v>5.1150169999999996E-10</v>
      </c>
      <c r="AZ43">
        <v>5.1110170000000005E-10</v>
      </c>
      <c r="BA43">
        <v>5.1081829999999998E-10</v>
      </c>
      <c r="BB43">
        <v>5.1068499999999998E-10</v>
      </c>
      <c r="BC43">
        <v>5.1094330000000001E-10</v>
      </c>
      <c r="BD43" s="36">
        <v>5.122433E-10</v>
      </c>
      <c r="BE43" s="36">
        <v>5.1212669999999995E-10</v>
      </c>
      <c r="BF43" s="36">
        <v>5.1169330000000004E-10</v>
      </c>
      <c r="BG43" s="36">
        <v>5.1196830000000002E-10</v>
      </c>
      <c r="BH43" s="36">
        <v>5.115683E-10</v>
      </c>
      <c r="BI43">
        <v>5.1316669999999998E-10</v>
      </c>
      <c r="BJ43">
        <v>5.1253500000000003E-10</v>
      </c>
      <c r="BK43">
        <v>5.1277670000000005E-10</v>
      </c>
      <c r="BL43">
        <v>5.1275170000000004E-10</v>
      </c>
      <c r="BM43">
        <v>5.1254329999999999E-10</v>
      </c>
      <c r="BN43" s="36">
        <v>5.1379250000000001E-10</v>
      </c>
      <c r="BO43" s="36">
        <v>5.1361079999999999E-10</v>
      </c>
      <c r="BP43" s="36">
        <v>5.1330749999999999E-10</v>
      </c>
      <c r="BQ43" s="36">
        <v>5.1351249999999999E-10</v>
      </c>
      <c r="BR43" s="36">
        <v>5.1351919999999995E-10</v>
      </c>
    </row>
    <row r="44" spans="1:70" x14ac:dyDescent="0.15">
      <c r="A44">
        <v>5.1229330000000001E-10</v>
      </c>
      <c r="B44">
        <v>5.1170999999999998E-10</v>
      </c>
      <c r="C44">
        <v>5.1185169999999997E-10</v>
      </c>
      <c r="D44">
        <v>5.1187669999999998E-10</v>
      </c>
      <c r="E44">
        <v>5.1183500000000002E-10</v>
      </c>
      <c r="F44" s="36">
        <v>5.1074329999999995E-10</v>
      </c>
      <c r="G44" s="36">
        <v>5.1021000000000004E-10</v>
      </c>
      <c r="H44" s="36">
        <v>5.1016829999999998E-10</v>
      </c>
      <c r="I44" s="36">
        <v>5.1015169999999996E-10</v>
      </c>
      <c r="J44" s="36">
        <v>5.1010169999999995E-10</v>
      </c>
      <c r="K44">
        <v>5.0941829999999996E-10</v>
      </c>
      <c r="L44">
        <v>5.0904330000000005E-10</v>
      </c>
      <c r="M44">
        <v>5.0899330000000004E-10</v>
      </c>
      <c r="N44">
        <v>5.0912669999999996E-10</v>
      </c>
      <c r="O44">
        <v>5.0930170000000001E-10</v>
      </c>
      <c r="P44" s="36">
        <v>5.0962670000000001E-10</v>
      </c>
      <c r="Q44" s="36">
        <v>5.0930999999999997E-10</v>
      </c>
      <c r="R44" s="36">
        <v>5.0918500000000004E-10</v>
      </c>
      <c r="S44" s="36">
        <v>5.0922669999999999E-10</v>
      </c>
      <c r="T44" s="36">
        <v>5.0918500000000004E-10</v>
      </c>
      <c r="U44">
        <v>5.0934330000000004E-10</v>
      </c>
      <c r="V44">
        <v>5.0903499999999999E-10</v>
      </c>
      <c r="W44">
        <v>5.0890999999999995E-10</v>
      </c>
      <c r="X44">
        <v>5.0911000000000001E-10</v>
      </c>
      <c r="Y44">
        <v>5.0910169999999995E-10</v>
      </c>
      <c r="Z44" s="36">
        <v>5.1047669999999996E-10</v>
      </c>
      <c r="AA44" s="36">
        <v>5.10085E-10</v>
      </c>
      <c r="AB44" s="36">
        <v>5.0985169999999998E-10</v>
      </c>
      <c r="AC44" s="36">
        <v>5.0981829999999998E-10</v>
      </c>
      <c r="AD44" s="36">
        <v>5.0976829999999996E-10</v>
      </c>
      <c r="AE44">
        <v>5.1110170000000005E-10</v>
      </c>
      <c r="AF44">
        <v>5.1070999999999999E-10</v>
      </c>
      <c r="AG44">
        <v>5.106017E-10</v>
      </c>
      <c r="AH44">
        <v>5.1085169999999997E-10</v>
      </c>
      <c r="AI44">
        <v>5.1045169999999995E-10</v>
      </c>
      <c r="AJ44" s="36">
        <v>5.1153500000000003E-10</v>
      </c>
      <c r="AK44" s="36">
        <v>5.1072670000000004E-10</v>
      </c>
      <c r="AL44" s="36">
        <v>5.1051829999999999E-10</v>
      </c>
      <c r="AM44" s="36">
        <v>5.1067670000000002E-10</v>
      </c>
      <c r="AN44" s="36">
        <v>5.1071830000000005E-10</v>
      </c>
      <c r="AO44">
        <v>5.0900170000000002E-10</v>
      </c>
      <c r="AP44">
        <v>5.085433E-10</v>
      </c>
      <c r="AQ44">
        <v>5.0865999999999998E-10</v>
      </c>
      <c r="AR44">
        <v>5.0868499999999999E-10</v>
      </c>
      <c r="AS44">
        <v>5.0878500000000002E-10</v>
      </c>
      <c r="AT44" s="36">
        <v>5.1041829999999996E-10</v>
      </c>
      <c r="AU44" s="36">
        <v>5.0990999999999995E-10</v>
      </c>
      <c r="AV44" s="36">
        <v>5.1004330000000005E-10</v>
      </c>
      <c r="AW44" s="36">
        <v>5.0993499999999996E-10</v>
      </c>
      <c r="AX44" s="36">
        <v>5.1000170000000002E-10</v>
      </c>
      <c r="AY44">
        <v>5.1156000000000004E-10</v>
      </c>
      <c r="AZ44">
        <v>5.1113500000000001E-10</v>
      </c>
      <c r="BA44">
        <v>5.1135170000000002E-10</v>
      </c>
      <c r="BB44">
        <v>5.1107670000000004E-10</v>
      </c>
      <c r="BC44">
        <v>5.1121000000000004E-10</v>
      </c>
      <c r="BD44" s="36">
        <v>5.1209329999999995E-10</v>
      </c>
      <c r="BE44" s="36">
        <v>5.1191000000000004E-10</v>
      </c>
      <c r="BF44" s="36">
        <v>5.1211E-10</v>
      </c>
      <c r="BG44" s="36">
        <v>5.1175170000000004E-10</v>
      </c>
      <c r="BH44" s="36">
        <v>5.1194330000000001E-10</v>
      </c>
      <c r="BI44">
        <v>5.1282669999999996E-10</v>
      </c>
      <c r="BJ44">
        <v>5.1260169999999999E-10</v>
      </c>
      <c r="BK44">
        <v>5.1285169999999997E-10</v>
      </c>
      <c r="BL44">
        <v>5.1273499999999999E-10</v>
      </c>
      <c r="BM44">
        <v>5.1256829999999999E-10</v>
      </c>
      <c r="BN44" s="36">
        <v>5.1432580000000003E-10</v>
      </c>
      <c r="BO44" s="36">
        <v>5.1384250000000003E-10</v>
      </c>
      <c r="BP44" s="36">
        <v>5.1377670000000004E-10</v>
      </c>
      <c r="BQ44" s="36">
        <v>5.1350420000000003E-10</v>
      </c>
      <c r="BR44" s="36">
        <v>5.1336329999999999E-10</v>
      </c>
    </row>
    <row r="45" spans="1:70" x14ac:dyDescent="0.15">
      <c r="A45">
        <v>5.1228499999999995E-10</v>
      </c>
      <c r="B45">
        <v>5.1207670000000004E-10</v>
      </c>
      <c r="C45">
        <v>5.1170999999999998E-10</v>
      </c>
      <c r="D45">
        <v>5.1184329999999998E-10</v>
      </c>
      <c r="E45">
        <v>5.1189329999999999E-10</v>
      </c>
      <c r="F45" s="36">
        <v>5.1029330000000002E-10</v>
      </c>
      <c r="G45" s="36">
        <v>5.1037670000000003E-10</v>
      </c>
      <c r="H45" s="36">
        <v>5.1020169999999998E-10</v>
      </c>
      <c r="I45" s="36">
        <v>5.1016829999999998E-10</v>
      </c>
      <c r="J45" s="36">
        <v>5.1025169999999999E-10</v>
      </c>
      <c r="K45">
        <v>5.0970170000000003E-10</v>
      </c>
      <c r="L45">
        <v>5.0903499999999999E-10</v>
      </c>
      <c r="M45">
        <v>5.0926830000000002E-10</v>
      </c>
      <c r="N45">
        <v>5.0929330000000002E-10</v>
      </c>
      <c r="O45">
        <v>5.0896830000000003E-10</v>
      </c>
      <c r="P45" s="36">
        <v>5.0956000000000005E-10</v>
      </c>
      <c r="Q45" s="36">
        <v>5.0936830000000005E-10</v>
      </c>
      <c r="R45" s="36">
        <v>5.092183E-10</v>
      </c>
      <c r="S45" s="36">
        <v>5.0906829999999996E-10</v>
      </c>
      <c r="T45" s="36">
        <v>5.0910169999999995E-10</v>
      </c>
      <c r="U45">
        <v>5.0944329999999997E-10</v>
      </c>
      <c r="V45">
        <v>5.0913500000000002E-10</v>
      </c>
      <c r="W45">
        <v>5.0919329999999999E-10</v>
      </c>
      <c r="X45">
        <v>5.0903499999999999E-10</v>
      </c>
      <c r="Y45">
        <v>5.092183E-10</v>
      </c>
      <c r="Z45" s="36">
        <v>5.1042670000000005E-10</v>
      </c>
      <c r="AA45" s="36">
        <v>5.1017669999999997E-10</v>
      </c>
      <c r="AB45" s="36">
        <v>5.0971830000000005E-10</v>
      </c>
      <c r="AC45" s="36">
        <v>5.0995999999999996E-10</v>
      </c>
      <c r="AD45" s="36">
        <v>5.0963499999999997E-10</v>
      </c>
      <c r="AE45">
        <v>5.1117669999999997E-10</v>
      </c>
      <c r="AF45">
        <v>5.1117669999999997E-10</v>
      </c>
      <c r="AG45">
        <v>5.1057669999999999E-10</v>
      </c>
      <c r="AH45">
        <v>5.109517E-10</v>
      </c>
      <c r="AI45">
        <v>5.1053500000000004E-10</v>
      </c>
      <c r="AJ45" s="36">
        <v>5.1125169999999999E-10</v>
      </c>
      <c r="AK45" s="36">
        <v>5.1090169999999999E-10</v>
      </c>
      <c r="AL45" s="36">
        <v>5.1071830000000005E-10</v>
      </c>
      <c r="AM45" s="36">
        <v>5.1093499999999995E-10</v>
      </c>
      <c r="AN45" s="36">
        <v>5.1086000000000003E-10</v>
      </c>
      <c r="AO45">
        <v>5.0904330000000005E-10</v>
      </c>
      <c r="AP45">
        <v>5.0839329999999995E-10</v>
      </c>
      <c r="AQ45">
        <v>5.0871829999999995E-10</v>
      </c>
      <c r="AR45">
        <v>5.0865999999999998E-10</v>
      </c>
      <c r="AS45">
        <v>5.0842669999999995E-10</v>
      </c>
      <c r="AT45" s="36">
        <v>5.1035170000000003E-10</v>
      </c>
      <c r="AU45" s="36">
        <v>5.1016829999999998E-10</v>
      </c>
      <c r="AV45" s="36">
        <v>5.099267E-10</v>
      </c>
      <c r="AW45" s="36">
        <v>5.0976000000000001E-10</v>
      </c>
      <c r="AX45" s="36">
        <v>5.0977669999999995E-10</v>
      </c>
      <c r="AY45">
        <v>5.1242670000000004E-10</v>
      </c>
      <c r="AZ45">
        <v>5.1195999999999996E-10</v>
      </c>
      <c r="BA45">
        <v>5.1200170000000001E-10</v>
      </c>
      <c r="BB45">
        <v>5.1205999999999999E-10</v>
      </c>
      <c r="BC45">
        <v>5.1190169999999998E-10</v>
      </c>
      <c r="BD45" s="36">
        <v>5.1248500000000001E-10</v>
      </c>
      <c r="BE45" s="36">
        <v>5.1180169999999995E-10</v>
      </c>
      <c r="BF45" s="36">
        <v>5.1184329999999998E-10</v>
      </c>
      <c r="BG45" s="36">
        <v>5.1211E-10</v>
      </c>
      <c r="BH45" s="36">
        <v>5.1171830000000004E-10</v>
      </c>
      <c r="BI45">
        <v>5.1331329999999998E-10</v>
      </c>
      <c r="BJ45">
        <v>5.1281000000000001E-10</v>
      </c>
      <c r="BK45">
        <v>5.1303329999999995E-10</v>
      </c>
      <c r="BL45">
        <v>5.1286750000000004E-10</v>
      </c>
      <c r="BM45">
        <v>5.1305E-10</v>
      </c>
      <c r="BN45" s="36">
        <v>5.1392499999999996E-10</v>
      </c>
      <c r="BO45" s="36">
        <v>5.1380000000000002E-10</v>
      </c>
      <c r="BP45" s="36">
        <v>5.1366830000000002E-10</v>
      </c>
      <c r="BQ45" s="36">
        <v>5.1357669999999998E-10</v>
      </c>
      <c r="BR45" s="36">
        <v>5.1347080000000003E-10</v>
      </c>
    </row>
    <row r="46" spans="1:70" x14ac:dyDescent="0.15">
      <c r="A46">
        <v>5.1206830000000005E-10</v>
      </c>
      <c r="B46">
        <v>5.1157669999999999E-10</v>
      </c>
      <c r="C46">
        <v>5.1185169999999997E-10</v>
      </c>
      <c r="D46">
        <v>5.1173499999999999E-10</v>
      </c>
      <c r="E46">
        <v>5.1192669999999999E-10</v>
      </c>
      <c r="F46" s="36">
        <v>5.105683E-10</v>
      </c>
      <c r="G46" s="36">
        <v>5.1030999999999997E-10</v>
      </c>
      <c r="H46" s="36">
        <v>5.1035170000000003E-10</v>
      </c>
      <c r="I46" s="36">
        <v>5.1031830000000003E-10</v>
      </c>
      <c r="J46" s="36">
        <v>5.1021000000000004E-10</v>
      </c>
      <c r="K46">
        <v>5.0991830000000001E-10</v>
      </c>
      <c r="L46">
        <v>5.0901830000000004E-10</v>
      </c>
      <c r="M46">
        <v>5.0946829999999997E-10</v>
      </c>
      <c r="N46">
        <v>5.0949329999999998E-10</v>
      </c>
      <c r="O46">
        <v>5.0925999999999996E-10</v>
      </c>
      <c r="P46" s="36">
        <v>5.0988500000000004E-10</v>
      </c>
      <c r="Q46" s="36">
        <v>5.0917669999999998E-10</v>
      </c>
      <c r="R46" s="36">
        <v>5.0929330000000002E-10</v>
      </c>
      <c r="S46" s="36">
        <v>5.0952669999999998E-10</v>
      </c>
      <c r="T46" s="36">
        <v>5.0928499999999996E-10</v>
      </c>
      <c r="U46">
        <v>5.0938499999999999E-10</v>
      </c>
      <c r="V46">
        <v>5.0885169999999998E-10</v>
      </c>
      <c r="W46">
        <v>5.0932670000000002E-10</v>
      </c>
      <c r="X46">
        <v>5.0934330000000004E-10</v>
      </c>
      <c r="Y46">
        <v>5.0930170000000001E-10</v>
      </c>
      <c r="Z46" s="36">
        <v>5.1020169999999998E-10</v>
      </c>
      <c r="AA46" s="36">
        <v>5.0991830000000001E-10</v>
      </c>
      <c r="AB46" s="36">
        <v>5.1000999999999998E-10</v>
      </c>
      <c r="AC46" s="36">
        <v>5.0993499999999996E-10</v>
      </c>
      <c r="AD46" s="36">
        <v>5.0981829999999998E-10</v>
      </c>
      <c r="AE46">
        <v>5.1105999999999999E-10</v>
      </c>
      <c r="AF46">
        <v>5.1041E-10</v>
      </c>
      <c r="AG46">
        <v>5.1035170000000003E-10</v>
      </c>
      <c r="AH46">
        <v>5.1097670000000001E-10</v>
      </c>
      <c r="AI46">
        <v>5.1032670000000002E-10</v>
      </c>
      <c r="AJ46" s="36">
        <v>5.1116000000000002E-10</v>
      </c>
      <c r="AK46" s="36">
        <v>5.1086829999999999E-10</v>
      </c>
      <c r="AL46" s="36">
        <v>5.1100999999999998E-10</v>
      </c>
      <c r="AM46" s="36">
        <v>5.1078500000000001E-10</v>
      </c>
      <c r="AN46" s="36">
        <v>5.1064330000000002E-10</v>
      </c>
      <c r="AO46">
        <v>5.0891830000000001E-10</v>
      </c>
      <c r="AP46">
        <v>5.0890169999999999E-10</v>
      </c>
      <c r="AQ46">
        <v>5.0833499999999998E-10</v>
      </c>
      <c r="AR46">
        <v>5.0862670000000001E-10</v>
      </c>
      <c r="AS46">
        <v>5.0849329999999999E-10</v>
      </c>
      <c r="AT46" s="36">
        <v>5.1068499999999998E-10</v>
      </c>
      <c r="AU46" s="36">
        <v>5.10085E-10</v>
      </c>
      <c r="AV46" s="36">
        <v>5.0987669999999998E-10</v>
      </c>
      <c r="AW46" s="36">
        <v>5.0987669999999998E-10</v>
      </c>
      <c r="AX46" s="36">
        <v>5.0987669999999998E-10</v>
      </c>
      <c r="AY46">
        <v>5.1260169999999999E-10</v>
      </c>
      <c r="AZ46">
        <v>5.1215169999999996E-10</v>
      </c>
      <c r="BA46">
        <v>5.1220169999999997E-10</v>
      </c>
      <c r="BB46">
        <v>5.1180169999999995E-10</v>
      </c>
      <c r="BC46">
        <v>5.1233499999999997E-10</v>
      </c>
      <c r="BD46" s="36">
        <v>5.1237670000000003E-10</v>
      </c>
      <c r="BE46" s="36">
        <v>5.1199330000000003E-10</v>
      </c>
      <c r="BF46" s="36">
        <v>5.1190169999999998E-10</v>
      </c>
      <c r="BG46" s="36">
        <v>5.1232670000000001E-10</v>
      </c>
      <c r="BH46" s="36">
        <v>5.1179329999999996E-10</v>
      </c>
      <c r="BI46">
        <v>5.1334829999999997E-10</v>
      </c>
      <c r="BJ46">
        <v>5.1274330000000005E-10</v>
      </c>
      <c r="BK46">
        <v>5.1285169999999997E-10</v>
      </c>
      <c r="BL46">
        <v>5.1272670000000003E-10</v>
      </c>
      <c r="BM46">
        <v>5.1291749999999995E-10</v>
      </c>
      <c r="BN46" s="36">
        <v>5.1400830000000004E-10</v>
      </c>
      <c r="BO46" s="36">
        <v>5.1366830000000002E-10</v>
      </c>
      <c r="BP46" s="36">
        <v>5.1362750000000004E-10</v>
      </c>
      <c r="BQ46" s="36">
        <v>5.1370999999999998E-10</v>
      </c>
      <c r="BR46" s="36">
        <v>5.1342080000000002E-10</v>
      </c>
    </row>
    <row r="47" spans="1:70" x14ac:dyDescent="0.15">
      <c r="A47">
        <v>5.1210170000000005E-10</v>
      </c>
      <c r="B47">
        <v>5.1179329999999996E-10</v>
      </c>
      <c r="C47">
        <v>5.1176829999999996E-10</v>
      </c>
      <c r="D47">
        <v>5.1169330000000004E-10</v>
      </c>
      <c r="E47">
        <v>5.1180169999999995E-10</v>
      </c>
      <c r="F47" s="36">
        <v>5.1051829999999999E-10</v>
      </c>
      <c r="G47" s="36">
        <v>5.1050169999999997E-10</v>
      </c>
      <c r="H47" s="36">
        <v>5.1006829999999995E-10</v>
      </c>
      <c r="I47" s="36">
        <v>5.0984329999999999E-10</v>
      </c>
      <c r="J47" s="36">
        <v>5.1026830000000001E-10</v>
      </c>
      <c r="K47">
        <v>5.0972670000000004E-10</v>
      </c>
      <c r="L47">
        <v>5.0888500000000005E-10</v>
      </c>
      <c r="M47">
        <v>5.0926830000000002E-10</v>
      </c>
      <c r="N47">
        <v>5.0935999999999999E-10</v>
      </c>
      <c r="O47">
        <v>5.0904330000000005E-10</v>
      </c>
      <c r="P47" s="36">
        <v>5.1016829999999998E-10</v>
      </c>
      <c r="Q47" s="36">
        <v>5.0944329999999997E-10</v>
      </c>
      <c r="R47" s="36">
        <v>5.0965170000000002E-10</v>
      </c>
      <c r="S47" s="36">
        <v>5.0924330000000001E-10</v>
      </c>
      <c r="T47" s="36">
        <v>5.0941829999999996E-10</v>
      </c>
      <c r="U47">
        <v>5.0961830000000002E-10</v>
      </c>
      <c r="V47">
        <v>5.0912669999999996E-10</v>
      </c>
      <c r="W47">
        <v>5.0919329999999999E-10</v>
      </c>
      <c r="X47">
        <v>5.0950169999999997E-10</v>
      </c>
      <c r="Y47">
        <v>5.0934330000000004E-10</v>
      </c>
      <c r="Z47" s="36">
        <v>5.1049329999999998E-10</v>
      </c>
      <c r="AA47" s="36">
        <v>5.0984329999999999E-10</v>
      </c>
      <c r="AB47" s="36">
        <v>5.0951829999999999E-10</v>
      </c>
      <c r="AC47" s="36">
        <v>5.0956000000000005E-10</v>
      </c>
      <c r="AD47" s="36">
        <v>5.0998499999999997E-10</v>
      </c>
      <c r="AE47">
        <v>5.1100170000000002E-10</v>
      </c>
      <c r="AF47">
        <v>5.1064330000000002E-10</v>
      </c>
      <c r="AG47">
        <v>5.1061830000000002E-10</v>
      </c>
      <c r="AH47">
        <v>5.1038499999999999E-10</v>
      </c>
      <c r="AI47">
        <v>5.1048500000000002E-10</v>
      </c>
      <c r="AJ47" s="36">
        <v>5.1105999999999999E-10</v>
      </c>
      <c r="AK47" s="36">
        <v>5.1081829999999998E-10</v>
      </c>
      <c r="AL47" s="36">
        <v>5.1057669999999999E-10</v>
      </c>
      <c r="AM47" s="36">
        <v>5.1040170000000004E-10</v>
      </c>
      <c r="AN47" s="36">
        <v>5.1076E-10</v>
      </c>
      <c r="AO47">
        <v>5.0917669999999998E-10</v>
      </c>
      <c r="AP47">
        <v>5.0835999999999999E-10</v>
      </c>
      <c r="AQ47">
        <v>5.0861830000000002E-10</v>
      </c>
      <c r="AR47">
        <v>5.0866830000000004E-10</v>
      </c>
      <c r="AS47">
        <v>5.0872670000000004E-10</v>
      </c>
      <c r="AT47" s="36">
        <v>5.1035170000000003E-10</v>
      </c>
      <c r="AU47" s="36">
        <v>5.0966830000000004E-10</v>
      </c>
      <c r="AV47" s="36">
        <v>5.0966830000000004E-10</v>
      </c>
      <c r="AW47" s="36">
        <v>5.098933E-10</v>
      </c>
      <c r="AX47" s="36">
        <v>5.0976829999999996E-10</v>
      </c>
      <c r="AY47">
        <v>5.1248500000000001E-10</v>
      </c>
      <c r="AZ47">
        <v>5.1201830000000003E-10</v>
      </c>
      <c r="BA47">
        <v>5.12085E-10</v>
      </c>
      <c r="BB47">
        <v>5.1201830000000003E-10</v>
      </c>
      <c r="BC47">
        <v>5.1226000000000005E-10</v>
      </c>
      <c r="BD47" s="36">
        <v>5.1250169999999996E-10</v>
      </c>
      <c r="BE47" s="36">
        <v>5.1230999999999996E-10</v>
      </c>
      <c r="BF47" s="36">
        <v>5.119183E-10</v>
      </c>
      <c r="BG47" s="36">
        <v>5.1178500000000001E-10</v>
      </c>
      <c r="BH47" s="36">
        <v>5.123017E-10</v>
      </c>
      <c r="BI47">
        <v>5.1328999999999999E-10</v>
      </c>
      <c r="BJ47">
        <v>5.1314919999999998E-10</v>
      </c>
      <c r="BK47">
        <v>5.1285079999999999E-10</v>
      </c>
      <c r="BL47">
        <v>5.1279329999999996E-10</v>
      </c>
      <c r="BM47">
        <v>5.1280169999999995E-10</v>
      </c>
      <c r="BN47" s="36">
        <v>5.1387579999999999E-10</v>
      </c>
      <c r="BO47" s="36">
        <v>5.1361169999999997E-10</v>
      </c>
      <c r="BP47" s="36">
        <v>5.1344580000000003E-10</v>
      </c>
      <c r="BQ47" s="36">
        <v>5.1358419999999999E-10</v>
      </c>
      <c r="BR47" s="36">
        <v>5.1353670000000005E-10</v>
      </c>
    </row>
    <row r="48" spans="1:70" x14ac:dyDescent="0.15">
      <c r="A48">
        <v>5.1210170000000005E-10</v>
      </c>
      <c r="B48">
        <v>5.1187669999999998E-10</v>
      </c>
      <c r="C48">
        <v>5.1157669999999999E-10</v>
      </c>
      <c r="D48">
        <v>5.1149329999999998E-10</v>
      </c>
      <c r="E48">
        <v>5.116017E-10</v>
      </c>
      <c r="F48" s="36">
        <v>5.106017E-10</v>
      </c>
      <c r="G48" s="36">
        <v>5.1011000000000001E-10</v>
      </c>
      <c r="H48" s="36">
        <v>5.1019329999999999E-10</v>
      </c>
      <c r="I48" s="36">
        <v>5.1003499999999999E-10</v>
      </c>
      <c r="J48" s="36">
        <v>5.1002670000000003E-10</v>
      </c>
      <c r="K48">
        <v>5.0990999999999995E-10</v>
      </c>
      <c r="L48">
        <v>5.0935170000000003E-10</v>
      </c>
      <c r="M48">
        <v>5.0957669999999999E-10</v>
      </c>
      <c r="N48">
        <v>5.0955169999999999E-10</v>
      </c>
      <c r="O48">
        <v>5.0959330000000001E-10</v>
      </c>
      <c r="P48" s="36">
        <v>5.1021000000000004E-10</v>
      </c>
      <c r="Q48" s="36">
        <v>5.0974329999999996E-10</v>
      </c>
      <c r="R48" s="36">
        <v>5.0960999999999996E-10</v>
      </c>
      <c r="S48" s="36">
        <v>5.09735E-10</v>
      </c>
      <c r="T48" s="36">
        <v>5.0956000000000005E-10</v>
      </c>
      <c r="U48">
        <v>5.0963499999999997E-10</v>
      </c>
      <c r="V48">
        <v>5.0928499999999996E-10</v>
      </c>
      <c r="W48">
        <v>5.0942669999999995E-10</v>
      </c>
      <c r="X48">
        <v>5.0933499999999998E-10</v>
      </c>
      <c r="Y48">
        <v>5.0946000000000002E-10</v>
      </c>
      <c r="Z48" s="36">
        <v>5.1015169999999996E-10</v>
      </c>
      <c r="AA48" s="36">
        <v>5.0985169999999998E-10</v>
      </c>
      <c r="AB48" s="36">
        <v>5.0970999999999999E-10</v>
      </c>
      <c r="AC48" s="36">
        <v>5.1004330000000005E-10</v>
      </c>
      <c r="AD48" s="36">
        <v>5.0982669999999997E-10</v>
      </c>
      <c r="AE48">
        <v>5.1134330000000003E-10</v>
      </c>
      <c r="AF48">
        <v>5.1054329999999999E-10</v>
      </c>
      <c r="AG48">
        <v>5.1043500000000001E-10</v>
      </c>
      <c r="AH48">
        <v>5.1061830000000002E-10</v>
      </c>
      <c r="AI48">
        <v>5.1051829999999999E-10</v>
      </c>
      <c r="AJ48" s="36">
        <v>5.1100170000000002E-10</v>
      </c>
      <c r="AK48" s="36">
        <v>5.1063499999999996E-10</v>
      </c>
      <c r="AL48" s="36">
        <v>5.1086829999999999E-10</v>
      </c>
      <c r="AM48" s="36">
        <v>5.1059330000000001E-10</v>
      </c>
      <c r="AN48" s="36">
        <v>5.1084329999999998E-10</v>
      </c>
      <c r="AO48">
        <v>5.0895170000000001E-10</v>
      </c>
      <c r="AP48">
        <v>5.0850169999999998E-10</v>
      </c>
      <c r="AQ48">
        <v>5.0846829999999998E-10</v>
      </c>
      <c r="AR48">
        <v>5.085767E-10</v>
      </c>
      <c r="AS48">
        <v>5.0856830000000001E-10</v>
      </c>
      <c r="AT48" s="36">
        <v>5.1046000000000001E-10</v>
      </c>
      <c r="AU48" s="36">
        <v>5.0950169999999997E-10</v>
      </c>
      <c r="AV48" s="36">
        <v>5.0982669999999997E-10</v>
      </c>
      <c r="AW48" s="36">
        <v>5.0983500000000003E-10</v>
      </c>
      <c r="AX48" s="36">
        <v>5.0966830000000004E-10</v>
      </c>
      <c r="AY48">
        <v>5.1276829999999995E-10</v>
      </c>
      <c r="AZ48">
        <v>5.1266830000000003E-10</v>
      </c>
      <c r="BA48">
        <v>5.1236830000000004E-10</v>
      </c>
      <c r="BB48">
        <v>5.1249329999999997E-10</v>
      </c>
      <c r="BC48">
        <v>5.1229330000000001E-10</v>
      </c>
      <c r="BD48" s="36">
        <v>5.1260999999999995E-10</v>
      </c>
      <c r="BE48" s="36">
        <v>5.1211E-10</v>
      </c>
      <c r="BF48" s="36">
        <v>5.1210170000000005E-10</v>
      </c>
      <c r="BG48" s="36">
        <v>5.1212669999999995E-10</v>
      </c>
      <c r="BH48" s="36">
        <v>5.1242670000000004E-10</v>
      </c>
      <c r="BI48">
        <v>5.1328170000000004E-10</v>
      </c>
      <c r="BJ48">
        <v>5.1275000000000001E-10</v>
      </c>
      <c r="BK48">
        <v>5.1261830000000001E-10</v>
      </c>
      <c r="BL48">
        <v>5.1282669999999996E-10</v>
      </c>
      <c r="BM48">
        <v>5.1294249999999996E-10</v>
      </c>
      <c r="BN48" s="36">
        <v>5.1385450000000003E-10</v>
      </c>
      <c r="BO48" s="36">
        <v>5.1375170000000003E-10</v>
      </c>
      <c r="BP48" s="36">
        <v>5.1348670000000004E-10</v>
      </c>
      <c r="BQ48" s="36">
        <v>5.1360250000000004E-10</v>
      </c>
      <c r="BR48" s="36">
        <v>5.1360329999999998E-10</v>
      </c>
    </row>
    <row r="49" spans="1:70" x14ac:dyDescent="0.15">
      <c r="A49">
        <v>5.1166830000000003E-10</v>
      </c>
      <c r="B49">
        <v>5.1159330000000001E-10</v>
      </c>
      <c r="C49">
        <v>5.11435E-10</v>
      </c>
      <c r="D49">
        <v>5.1171830000000004E-10</v>
      </c>
      <c r="E49">
        <v>5.1153500000000003E-10</v>
      </c>
      <c r="F49" s="36">
        <v>5.1057669999999999E-10</v>
      </c>
      <c r="G49" s="36">
        <v>5.1019329999999999E-10</v>
      </c>
      <c r="H49" s="36">
        <v>5.1012669999999996E-10</v>
      </c>
      <c r="I49" s="36">
        <v>5.1024330000000001E-10</v>
      </c>
      <c r="J49" s="36">
        <v>5.1015169999999996E-10</v>
      </c>
      <c r="K49">
        <v>5.098933E-10</v>
      </c>
      <c r="L49">
        <v>5.0991830000000001E-10</v>
      </c>
      <c r="M49">
        <v>5.0955870000000005E-10</v>
      </c>
      <c r="N49">
        <v>5.0956000000000005E-10</v>
      </c>
      <c r="O49">
        <v>5.0956000000000005E-10</v>
      </c>
      <c r="P49" s="36">
        <v>5.1000170000000002E-10</v>
      </c>
      <c r="Q49" s="36">
        <v>5.0974329999999996E-10</v>
      </c>
      <c r="R49" s="36">
        <v>5.0971830000000005E-10</v>
      </c>
      <c r="S49" s="36">
        <v>5.0968499999999998E-10</v>
      </c>
      <c r="T49" s="36">
        <v>5.0949329999999998E-10</v>
      </c>
      <c r="U49">
        <v>5.1016000000000003E-10</v>
      </c>
      <c r="V49">
        <v>5.0921000000000004E-10</v>
      </c>
      <c r="W49">
        <v>5.0956000000000005E-10</v>
      </c>
      <c r="X49">
        <v>5.0924330000000001E-10</v>
      </c>
      <c r="Y49">
        <v>5.0914329999999998E-10</v>
      </c>
      <c r="Z49" s="36">
        <v>5.1033499999999998E-10</v>
      </c>
      <c r="AA49" s="36">
        <v>5.0980169999999996E-10</v>
      </c>
      <c r="AB49" s="36">
        <v>5.0986000000000004E-10</v>
      </c>
      <c r="AC49" s="36">
        <v>5.0952669999999998E-10</v>
      </c>
      <c r="AD49" s="36">
        <v>5.0981829999999998E-10</v>
      </c>
      <c r="AE49">
        <v>5.1081829999999998E-10</v>
      </c>
      <c r="AF49">
        <v>5.1060999999999996E-10</v>
      </c>
      <c r="AG49">
        <v>5.1030999999999997E-10</v>
      </c>
      <c r="AH49">
        <v>5.1039330000000005E-10</v>
      </c>
      <c r="AI49">
        <v>5.1070999999999999E-10</v>
      </c>
      <c r="AJ49" s="36">
        <v>5.1117669999999997E-10</v>
      </c>
      <c r="AK49" s="36">
        <v>5.1046829999999997E-10</v>
      </c>
      <c r="AL49" s="36">
        <v>5.1072670000000004E-10</v>
      </c>
      <c r="AM49" s="36">
        <v>5.1049329999999998E-10</v>
      </c>
      <c r="AN49" s="36">
        <v>5.106017E-10</v>
      </c>
      <c r="AO49">
        <v>5.0880169999999996E-10</v>
      </c>
      <c r="AP49">
        <v>5.0858499999999996E-10</v>
      </c>
      <c r="AQ49">
        <v>5.0855169999999999E-10</v>
      </c>
      <c r="AR49">
        <v>5.0865999999999998E-10</v>
      </c>
      <c r="AS49">
        <v>5.0876000000000001E-10</v>
      </c>
      <c r="AT49" s="36">
        <v>5.1012669999999996E-10</v>
      </c>
      <c r="AU49" s="36">
        <v>5.0976000000000001E-10</v>
      </c>
      <c r="AV49" s="36">
        <v>5.1002670000000003E-10</v>
      </c>
      <c r="AW49" s="36">
        <v>5.1001830000000004E-10</v>
      </c>
      <c r="AX49" s="36">
        <v>5.0960999999999996E-10</v>
      </c>
      <c r="AY49">
        <v>5.1305080000000005E-10</v>
      </c>
      <c r="AZ49">
        <v>5.1252579999999999E-10</v>
      </c>
      <c r="BA49">
        <v>5.1233499999999997E-10</v>
      </c>
      <c r="BB49">
        <v>5.1245170000000005E-10</v>
      </c>
      <c r="BC49">
        <v>5.1240999999999999E-10</v>
      </c>
      <c r="BD49" s="36">
        <v>5.1302580000000004E-10</v>
      </c>
      <c r="BE49" s="36">
        <v>5.1206830000000005E-10</v>
      </c>
      <c r="BF49" s="36">
        <v>5.1255169999999998E-10</v>
      </c>
      <c r="BG49" s="36">
        <v>5.1197670000000001E-10</v>
      </c>
      <c r="BH49" s="36">
        <v>5.1240999999999999E-10</v>
      </c>
      <c r="BI49">
        <v>5.1341330000000001E-10</v>
      </c>
      <c r="BJ49">
        <v>5.1279329999999996E-10</v>
      </c>
      <c r="BK49">
        <v>5.1294249999999996E-10</v>
      </c>
      <c r="BL49">
        <v>5.1286829999999998E-10</v>
      </c>
      <c r="BM49">
        <v>5.1283419999999997E-10</v>
      </c>
      <c r="BN49" s="36">
        <v>5.1418329999999999E-10</v>
      </c>
      <c r="BO49" s="36">
        <v>5.1368580000000002E-10</v>
      </c>
      <c r="BP49" s="36">
        <v>5.1335579999999998E-10</v>
      </c>
      <c r="BQ49" s="36">
        <v>5.1349499999999999E-10</v>
      </c>
      <c r="BR49" s="36">
        <v>5.1351079999999996E-10</v>
      </c>
    </row>
    <row r="50" spans="1:70" x14ac:dyDescent="0.15">
      <c r="A50">
        <v>5.1178500000000001E-10</v>
      </c>
      <c r="B50">
        <v>5.115683E-10</v>
      </c>
      <c r="C50">
        <v>5.116267E-10</v>
      </c>
      <c r="D50">
        <v>5.1161830000000001E-10</v>
      </c>
      <c r="E50">
        <v>5.1170170000000003E-10</v>
      </c>
      <c r="F50" s="36">
        <v>5.1036830000000004E-10</v>
      </c>
      <c r="G50" s="36">
        <v>5.1018500000000003E-10</v>
      </c>
      <c r="H50" s="36">
        <v>5.1020169999999998E-10</v>
      </c>
      <c r="I50" s="36">
        <v>5.0999330000000003E-10</v>
      </c>
      <c r="J50" s="36">
        <v>5.0995999999999996E-10</v>
      </c>
      <c r="K50">
        <v>5.0994330000000002E-10</v>
      </c>
      <c r="L50">
        <v>5.0943500000000001E-10</v>
      </c>
      <c r="M50">
        <v>5.0970170000000003E-10</v>
      </c>
      <c r="N50">
        <v>5.0930999999999997E-10</v>
      </c>
      <c r="O50">
        <v>5.0949329999999998E-10</v>
      </c>
      <c r="P50" s="36">
        <v>5.1003499999999999E-10</v>
      </c>
      <c r="Q50" s="36">
        <v>5.0986000000000004E-10</v>
      </c>
      <c r="R50" s="36">
        <v>5.0982669999999997E-10</v>
      </c>
      <c r="S50" s="36">
        <v>5.0967670000000003E-10</v>
      </c>
      <c r="T50" s="36">
        <v>5.0950169999999997E-10</v>
      </c>
      <c r="U50">
        <v>5.0979329999999997E-10</v>
      </c>
      <c r="V50">
        <v>5.0956830000000001E-10</v>
      </c>
      <c r="W50">
        <v>5.0939329999999995E-10</v>
      </c>
      <c r="X50">
        <v>5.0940170000000004E-10</v>
      </c>
      <c r="Y50">
        <v>5.0940170000000004E-10</v>
      </c>
      <c r="Z50" s="36">
        <v>5.10085E-10</v>
      </c>
      <c r="AA50" s="36">
        <v>5.0986829999999999E-10</v>
      </c>
      <c r="AB50" s="36">
        <v>5.0983500000000003E-10</v>
      </c>
      <c r="AC50" s="36">
        <v>5.0988500000000004E-10</v>
      </c>
      <c r="AD50" s="36">
        <v>5.0942669999999995E-10</v>
      </c>
      <c r="AE50">
        <v>5.1085169999999997E-10</v>
      </c>
      <c r="AF50">
        <v>5.1046829999999997E-10</v>
      </c>
      <c r="AG50">
        <v>5.1032670000000002E-10</v>
      </c>
      <c r="AH50">
        <v>5.1025169999999999E-10</v>
      </c>
      <c r="AI50">
        <v>5.1054329999999999E-10</v>
      </c>
      <c r="AJ50" s="36">
        <v>5.1111000000000001E-10</v>
      </c>
      <c r="AK50" s="36">
        <v>5.1058499999999995E-10</v>
      </c>
      <c r="AL50" s="36">
        <v>5.1047669999999996E-10</v>
      </c>
      <c r="AM50" s="36">
        <v>5.105683E-10</v>
      </c>
      <c r="AN50" s="36">
        <v>5.1035170000000003E-10</v>
      </c>
      <c r="AO50">
        <v>5.0884329999999999E-10</v>
      </c>
      <c r="AP50">
        <v>5.0840170000000005E-10</v>
      </c>
      <c r="AQ50">
        <v>5.0835170000000003E-10</v>
      </c>
      <c r="AR50">
        <v>5.0860170000000001E-10</v>
      </c>
      <c r="AS50">
        <v>5.0866830000000004E-10</v>
      </c>
      <c r="AT50" s="36">
        <v>5.1011000000000001E-10</v>
      </c>
      <c r="AU50" s="36">
        <v>5.0961830000000002E-10</v>
      </c>
      <c r="AV50" s="36">
        <v>5.0964330000000003E-10</v>
      </c>
      <c r="AW50" s="36">
        <v>5.0979329999999997E-10</v>
      </c>
      <c r="AX50" s="36">
        <v>5.0970999999999999E-10</v>
      </c>
      <c r="AY50">
        <v>5.1269330000000003E-10</v>
      </c>
      <c r="AZ50">
        <v>5.1264330000000002E-10</v>
      </c>
      <c r="BA50">
        <v>5.1272670000000003E-10</v>
      </c>
      <c r="BB50">
        <v>5.1226000000000005E-10</v>
      </c>
      <c r="BC50">
        <v>5.1258500000000005E-10</v>
      </c>
      <c r="BD50" s="36">
        <v>5.1293330000000002E-10</v>
      </c>
      <c r="BE50" s="36">
        <v>5.1235999999999998E-10</v>
      </c>
      <c r="BF50" s="36">
        <v>5.1222669999999998E-10</v>
      </c>
      <c r="BG50" s="36">
        <v>5.1222669999999998E-10</v>
      </c>
      <c r="BH50" s="36">
        <v>5.1232670000000001E-10</v>
      </c>
      <c r="BI50">
        <v>5.1328999999999999E-10</v>
      </c>
      <c r="BJ50">
        <v>5.1295830000000003E-10</v>
      </c>
      <c r="BK50">
        <v>5.1267670000000001E-10</v>
      </c>
      <c r="BL50">
        <v>5.1267670000000001E-10</v>
      </c>
      <c r="BM50">
        <v>5.1286829999999998E-10</v>
      </c>
      <c r="BN50" s="36">
        <v>5.1384250000000003E-10</v>
      </c>
      <c r="BO50" s="36">
        <v>5.1357000000000002E-10</v>
      </c>
      <c r="BP50" s="36">
        <v>5.1375079999999995E-10</v>
      </c>
      <c r="BQ50" s="36">
        <v>5.1345330000000004E-10</v>
      </c>
      <c r="BR50" s="36">
        <v>5.1357000000000002E-10</v>
      </c>
    </row>
    <row r="51" spans="1:70" x14ac:dyDescent="0.15">
      <c r="A51">
        <v>5.1163499999999996E-10</v>
      </c>
      <c r="B51">
        <v>5.1135170000000002E-10</v>
      </c>
      <c r="C51">
        <v>5.1176E-10</v>
      </c>
      <c r="D51">
        <v>5.1146000000000001E-10</v>
      </c>
      <c r="E51">
        <v>5.1138499999999999E-10</v>
      </c>
    </row>
    <row r="52" spans="1:70" x14ac:dyDescent="0.15">
      <c r="A52">
        <v>5.1201830000000003E-10</v>
      </c>
      <c r="B52">
        <v>5.1165999999999997E-10</v>
      </c>
      <c r="C52">
        <v>5.1177670000000005E-10</v>
      </c>
      <c r="D52">
        <v>5.1135170000000002E-10</v>
      </c>
      <c r="E52">
        <v>5.1147669999999996E-10</v>
      </c>
    </row>
    <row r="53" spans="1:70" x14ac:dyDescent="0.15">
      <c r="A53">
        <v>5.116017E-10</v>
      </c>
      <c r="B53">
        <v>5.1129330000000002E-10</v>
      </c>
      <c r="C53">
        <v>5.1134330000000003E-10</v>
      </c>
      <c r="D53">
        <v>5.1133499999999997E-10</v>
      </c>
      <c r="E53">
        <v>5.1137670000000003E-10</v>
      </c>
    </row>
    <row r="54" spans="1:70" x14ac:dyDescent="0.15">
      <c r="A54">
        <v>5.1148500000000002E-10</v>
      </c>
      <c r="B54">
        <v>5.1135999999999998E-10</v>
      </c>
      <c r="C54">
        <v>5.1115169999999996E-10</v>
      </c>
      <c r="D54">
        <v>5.112433E-10</v>
      </c>
      <c r="E54">
        <v>5.11085E-10</v>
      </c>
    </row>
    <row r="55" spans="1:70" x14ac:dyDescent="0.15">
      <c r="A55">
        <v>5.1195999999999996E-10</v>
      </c>
      <c r="B55">
        <v>5.1147669999999996E-10</v>
      </c>
      <c r="C55">
        <v>5.1100170000000002E-10</v>
      </c>
      <c r="D55">
        <v>5.1130999999999996E-10</v>
      </c>
      <c r="E55">
        <v>5.1115169999999996E-10</v>
      </c>
    </row>
    <row r="56" spans="1:70" x14ac:dyDescent="0.15">
      <c r="A56">
        <v>5.1164330000000002E-10</v>
      </c>
      <c r="B56">
        <v>5.1121000000000004E-10</v>
      </c>
      <c r="C56">
        <v>5.1100170000000002E-10</v>
      </c>
      <c r="D56">
        <v>5.1111829999999996E-10</v>
      </c>
      <c r="E56">
        <v>5.1123500000000004E-10</v>
      </c>
    </row>
    <row r="57" spans="1:70" x14ac:dyDescent="0.15">
      <c r="A57">
        <v>5.1151829999999998E-10</v>
      </c>
      <c r="B57">
        <v>5.1107670000000004E-10</v>
      </c>
      <c r="C57">
        <v>5.1087669999999998E-10</v>
      </c>
      <c r="D57">
        <v>5.1086000000000003E-10</v>
      </c>
      <c r="E57">
        <v>5.1112669999999995E-10</v>
      </c>
    </row>
    <row r="58" spans="1:70" x14ac:dyDescent="0.15">
      <c r="A58">
        <v>5.1117669999999997E-10</v>
      </c>
      <c r="B58">
        <v>5.1091000000000005E-10</v>
      </c>
      <c r="C58">
        <v>5.1102670000000003E-10</v>
      </c>
      <c r="D58">
        <v>5.112767E-10</v>
      </c>
      <c r="E58">
        <v>5.1100170000000002E-10</v>
      </c>
    </row>
    <row r="59" spans="1:70" x14ac:dyDescent="0.15">
      <c r="A59">
        <v>5.1149329999999998E-10</v>
      </c>
      <c r="B59">
        <v>5.11085E-10</v>
      </c>
      <c r="C59">
        <v>5.108933E-10</v>
      </c>
      <c r="D59">
        <v>5.1080169999999996E-10</v>
      </c>
      <c r="E59">
        <v>5.1103499999999998E-10</v>
      </c>
    </row>
    <row r="60" spans="1:70" x14ac:dyDescent="0.15">
      <c r="A60">
        <v>5.112433E-10</v>
      </c>
      <c r="B60">
        <v>5.1086829999999999E-10</v>
      </c>
      <c r="C60">
        <v>5.1088500000000004E-10</v>
      </c>
      <c r="D60">
        <v>5.1071830000000005E-10</v>
      </c>
      <c r="E60">
        <v>5.1084329999999998E-10</v>
      </c>
    </row>
    <row r="61" spans="1:70" x14ac:dyDescent="0.15">
      <c r="A61">
        <v>5.1112669999999995E-10</v>
      </c>
      <c r="B61">
        <v>5.1128499999999996E-10</v>
      </c>
      <c r="C61">
        <v>5.1099330000000003E-10</v>
      </c>
      <c r="D61">
        <v>5.1095999999999996E-10</v>
      </c>
      <c r="E61">
        <v>5.1099330000000003E-10</v>
      </c>
    </row>
    <row r="62" spans="1:70" x14ac:dyDescent="0.15">
      <c r="A62">
        <v>5.1129330000000002E-10</v>
      </c>
      <c r="B62">
        <v>5.1091000000000005E-10</v>
      </c>
      <c r="C62">
        <v>5.1077669999999995E-10</v>
      </c>
      <c r="D62">
        <v>5.1083500000000003E-10</v>
      </c>
      <c r="E62">
        <v>5.1093499999999995E-10</v>
      </c>
    </row>
    <row r="63" spans="1:70" x14ac:dyDescent="0.15">
      <c r="A63">
        <v>5.1081829999999998E-10</v>
      </c>
      <c r="B63">
        <v>5.1115169999999996E-10</v>
      </c>
      <c r="C63">
        <v>5.109517E-10</v>
      </c>
      <c r="D63">
        <v>5.1107670000000004E-10</v>
      </c>
      <c r="E63">
        <v>5.1094330000000001E-10</v>
      </c>
    </row>
    <row r="64" spans="1:70" x14ac:dyDescent="0.15">
      <c r="A64">
        <v>5.112767E-10</v>
      </c>
      <c r="B64">
        <v>5.1115169999999996E-10</v>
      </c>
      <c r="C64">
        <v>5.1110170000000005E-10</v>
      </c>
      <c r="D64">
        <v>5.112767E-10</v>
      </c>
      <c r="E64">
        <v>5.1125169999999999E-10</v>
      </c>
    </row>
    <row r="65" spans="1:5" x14ac:dyDescent="0.15">
      <c r="A65">
        <v>5.1148500000000002E-10</v>
      </c>
      <c r="B65">
        <v>5.1109329999999996E-10</v>
      </c>
      <c r="C65">
        <v>5.1125169999999999E-10</v>
      </c>
      <c r="D65">
        <v>5.1138499999999999E-10</v>
      </c>
      <c r="E65">
        <v>5.1113500000000001E-10</v>
      </c>
    </row>
    <row r="66" spans="1:5" x14ac:dyDescent="0.15">
      <c r="A66">
        <v>5.1137670000000003E-10</v>
      </c>
      <c r="B66">
        <v>5.112767E-10</v>
      </c>
      <c r="C66">
        <v>5.1145169999999995E-10</v>
      </c>
      <c r="D66">
        <v>5.1123500000000004E-10</v>
      </c>
      <c r="E66">
        <v>5.1152669999999997E-10</v>
      </c>
    </row>
    <row r="67" spans="1:5" x14ac:dyDescent="0.15">
      <c r="A67">
        <v>5.1169330000000004E-10</v>
      </c>
      <c r="B67">
        <v>5.1122669999999998E-10</v>
      </c>
      <c r="C67">
        <v>5.11085E-10</v>
      </c>
      <c r="D67">
        <v>5.1145169999999995E-10</v>
      </c>
      <c r="E67">
        <v>5.1146000000000001E-10</v>
      </c>
    </row>
    <row r="68" spans="1:5" x14ac:dyDescent="0.15">
      <c r="A68">
        <v>5.1142670000000005E-10</v>
      </c>
      <c r="B68">
        <v>5.1103499999999998E-10</v>
      </c>
      <c r="C68">
        <v>5.1138499999999999E-10</v>
      </c>
      <c r="D68">
        <v>5.1158500000000005E-10</v>
      </c>
      <c r="E68">
        <v>5.1121829999999999E-10</v>
      </c>
    </row>
    <row r="69" spans="1:5" x14ac:dyDescent="0.15">
      <c r="A69">
        <v>5.1140999999999999E-10</v>
      </c>
      <c r="B69">
        <v>5.1136830000000004E-10</v>
      </c>
      <c r="C69">
        <v>5.1125169999999999E-10</v>
      </c>
      <c r="D69">
        <v>5.1129330000000002E-10</v>
      </c>
      <c r="E69">
        <v>5.1125999999999995E-10</v>
      </c>
    </row>
    <row r="70" spans="1:5" x14ac:dyDescent="0.15">
      <c r="A70">
        <v>5.1175170000000004E-10</v>
      </c>
      <c r="B70">
        <v>5.1123500000000004E-10</v>
      </c>
      <c r="C70">
        <v>5.1151000000000003E-10</v>
      </c>
      <c r="D70">
        <v>5.1135170000000002E-10</v>
      </c>
      <c r="E70">
        <v>5.1133499999999997E-10</v>
      </c>
    </row>
    <row r="71" spans="1:5" x14ac:dyDescent="0.15">
      <c r="A71">
        <v>5.1146829999999997E-10</v>
      </c>
      <c r="B71">
        <v>5.1138499999999999E-10</v>
      </c>
      <c r="C71">
        <v>5.1137670000000003E-10</v>
      </c>
      <c r="D71">
        <v>5.1136830000000004E-10</v>
      </c>
      <c r="E71">
        <v>5.1135170000000002E-10</v>
      </c>
    </row>
    <row r="72" spans="1:5" x14ac:dyDescent="0.15">
      <c r="A72">
        <v>5.1178500000000001E-10</v>
      </c>
      <c r="B72">
        <v>5.1146829999999997E-10</v>
      </c>
      <c r="C72">
        <v>5.1157669999999999E-10</v>
      </c>
      <c r="D72">
        <v>5.1151000000000003E-10</v>
      </c>
      <c r="E72">
        <v>5.1146829999999997E-10</v>
      </c>
    </row>
    <row r="73" spans="1:5" x14ac:dyDescent="0.15">
      <c r="A73">
        <v>5.122767E-10</v>
      </c>
      <c r="B73">
        <v>5.1148500000000002E-10</v>
      </c>
      <c r="C73">
        <v>5.1172670000000003E-10</v>
      </c>
      <c r="D73">
        <v>5.1183500000000002E-10</v>
      </c>
      <c r="E73">
        <v>5.1173499999999999E-10</v>
      </c>
    </row>
    <row r="74" spans="1:5" x14ac:dyDescent="0.15">
      <c r="A74">
        <v>5.1170999999999998E-10</v>
      </c>
      <c r="B74">
        <v>5.1148500000000002E-10</v>
      </c>
      <c r="C74">
        <v>5.1171830000000004E-10</v>
      </c>
      <c r="D74">
        <v>5.1160999999999995E-10</v>
      </c>
      <c r="E74">
        <v>5.1140170000000004E-10</v>
      </c>
    </row>
    <row r="75" spans="1:5" x14ac:dyDescent="0.15">
      <c r="A75">
        <v>5.1214329999999997E-10</v>
      </c>
      <c r="B75">
        <v>5.1167670000000002E-10</v>
      </c>
      <c r="C75">
        <v>5.1175170000000004E-10</v>
      </c>
      <c r="D75">
        <v>5.1165999999999997E-10</v>
      </c>
      <c r="E75">
        <v>5.1167670000000002E-10</v>
      </c>
    </row>
    <row r="76" spans="1:5" x14ac:dyDescent="0.15">
      <c r="A76">
        <v>5.1196830000000002E-10</v>
      </c>
      <c r="B76">
        <v>5.115683E-10</v>
      </c>
      <c r="C76">
        <v>5.1176829999999996E-10</v>
      </c>
      <c r="D76">
        <v>5.1163499999999996E-10</v>
      </c>
      <c r="E76">
        <v>5.1160999999999995E-10</v>
      </c>
    </row>
    <row r="77" spans="1:5" x14ac:dyDescent="0.15">
      <c r="A77">
        <v>5.1195999999999996E-10</v>
      </c>
      <c r="B77">
        <v>5.1137670000000003E-10</v>
      </c>
      <c r="C77">
        <v>5.1190169999999998E-10</v>
      </c>
      <c r="D77">
        <v>5.1166830000000003E-10</v>
      </c>
      <c r="E77">
        <v>5.1159330000000001E-10</v>
      </c>
    </row>
    <row r="78" spans="1:5" x14ac:dyDescent="0.15">
      <c r="A78">
        <v>5.1189329999999999E-10</v>
      </c>
      <c r="B78">
        <v>5.1135999999999998E-10</v>
      </c>
      <c r="C78">
        <v>5.1182669999999996E-10</v>
      </c>
      <c r="D78">
        <v>5.1148500000000002E-10</v>
      </c>
      <c r="E78">
        <v>5.1121000000000004E-10</v>
      </c>
    </row>
    <row r="79" spans="1:5" x14ac:dyDescent="0.15">
      <c r="A79">
        <v>5.1176E-10</v>
      </c>
      <c r="B79">
        <v>5.1146829999999997E-10</v>
      </c>
      <c r="C79">
        <v>5.1130999999999996E-10</v>
      </c>
      <c r="D79">
        <v>5.1141829999999995E-10</v>
      </c>
      <c r="E79">
        <v>5.1130999999999996E-10</v>
      </c>
    </row>
    <row r="80" spans="1:5" x14ac:dyDescent="0.15">
      <c r="A80">
        <v>5.1155169999999998E-10</v>
      </c>
      <c r="B80">
        <v>5.1120169999999998E-10</v>
      </c>
      <c r="C80">
        <v>5.1142670000000005E-10</v>
      </c>
      <c r="D80">
        <v>5.1142670000000005E-10</v>
      </c>
      <c r="E80">
        <v>5.1140999999999999E-10</v>
      </c>
    </row>
    <row r="81" spans="1:5" x14ac:dyDescent="0.15">
      <c r="A81">
        <v>5.1167670000000002E-10</v>
      </c>
      <c r="B81">
        <v>5.1130999999999996E-10</v>
      </c>
      <c r="C81">
        <v>5.11435E-10</v>
      </c>
      <c r="D81">
        <v>5.1150169999999996E-10</v>
      </c>
      <c r="E81">
        <v>5.11435E-10</v>
      </c>
    </row>
    <row r="82" spans="1:5" x14ac:dyDescent="0.15">
      <c r="A82">
        <v>5.116017E-10</v>
      </c>
      <c r="B82">
        <v>5.1150169999999996E-10</v>
      </c>
      <c r="C82">
        <v>5.1130999999999996E-10</v>
      </c>
      <c r="D82">
        <v>5.1116829999999998E-10</v>
      </c>
      <c r="E82">
        <v>5.1123500000000004E-10</v>
      </c>
    </row>
    <row r="83" spans="1:5" x14ac:dyDescent="0.15">
      <c r="A83">
        <v>5.1171830000000004E-10</v>
      </c>
      <c r="B83">
        <v>5.1128499999999996E-10</v>
      </c>
      <c r="C83">
        <v>5.1146829999999997E-10</v>
      </c>
      <c r="D83">
        <v>5.1111000000000001E-10</v>
      </c>
      <c r="E83">
        <v>5.1090169999999999E-10</v>
      </c>
    </row>
    <row r="84" spans="1:5" x14ac:dyDescent="0.15">
      <c r="A84">
        <v>5.1152669999999997E-10</v>
      </c>
      <c r="B84">
        <v>5.1113500000000001E-10</v>
      </c>
      <c r="C84">
        <v>5.1095999999999996E-10</v>
      </c>
      <c r="D84">
        <v>5.1087669999999998E-10</v>
      </c>
      <c r="E84">
        <v>5.1097670000000001E-10</v>
      </c>
    </row>
    <row r="85" spans="1:5" x14ac:dyDescent="0.15">
      <c r="A85">
        <v>5.1109329999999996E-10</v>
      </c>
      <c r="B85">
        <v>5.109517E-10</v>
      </c>
      <c r="C85">
        <v>5.1086000000000003E-10</v>
      </c>
      <c r="D85">
        <v>5.1104330000000004E-10</v>
      </c>
      <c r="E85">
        <v>5.1099330000000003E-10</v>
      </c>
    </row>
    <row r="86" spans="1:5" x14ac:dyDescent="0.15">
      <c r="A86">
        <v>5.1110170000000005E-10</v>
      </c>
      <c r="B86">
        <v>5.1082669999999996E-10</v>
      </c>
      <c r="C86">
        <v>5.1087669999999998E-10</v>
      </c>
      <c r="D86">
        <v>5.1104330000000004E-10</v>
      </c>
      <c r="E86">
        <v>5.1076E-10</v>
      </c>
    </row>
    <row r="87" spans="1:5" x14ac:dyDescent="0.15">
      <c r="A87">
        <v>5.1126830000000001E-10</v>
      </c>
      <c r="B87">
        <v>5.1100170000000002E-10</v>
      </c>
      <c r="C87">
        <v>5.1103499999999998E-10</v>
      </c>
      <c r="D87">
        <v>5.109517E-10</v>
      </c>
      <c r="E87">
        <v>5.1082669999999996E-10</v>
      </c>
    </row>
    <row r="88" spans="1:5" x14ac:dyDescent="0.15">
      <c r="A88">
        <v>5.1120169999999998E-10</v>
      </c>
      <c r="B88">
        <v>5.1094330000000001E-10</v>
      </c>
      <c r="C88">
        <v>5.1088500000000004E-10</v>
      </c>
      <c r="D88">
        <v>5.1074329999999995E-10</v>
      </c>
      <c r="E88">
        <v>5.1054329999999999E-10</v>
      </c>
    </row>
    <row r="89" spans="1:5" x14ac:dyDescent="0.15">
      <c r="A89">
        <v>5.1087669999999998E-10</v>
      </c>
      <c r="B89">
        <v>5.1071830000000005E-10</v>
      </c>
      <c r="C89">
        <v>5.1091000000000005E-10</v>
      </c>
      <c r="D89">
        <v>5.1081829999999998E-10</v>
      </c>
      <c r="E89">
        <v>5.1056000000000004E-10</v>
      </c>
    </row>
    <row r="90" spans="1:5" x14ac:dyDescent="0.15">
      <c r="A90">
        <v>5.1116000000000002E-10</v>
      </c>
      <c r="B90">
        <v>5.1050169999999997E-10</v>
      </c>
      <c r="C90">
        <v>5.1110170000000005E-10</v>
      </c>
      <c r="D90">
        <v>5.1026830000000001E-10</v>
      </c>
      <c r="E90">
        <v>5.1045169999999995E-10</v>
      </c>
    </row>
    <row r="91" spans="1:5" x14ac:dyDescent="0.15">
      <c r="A91">
        <v>5.1104330000000004E-10</v>
      </c>
      <c r="B91">
        <v>5.1087669999999998E-10</v>
      </c>
      <c r="C91">
        <v>5.1045169999999995E-10</v>
      </c>
      <c r="D91">
        <v>5.1064330000000002E-10</v>
      </c>
      <c r="E91">
        <v>5.1038499999999999E-10</v>
      </c>
    </row>
    <row r="92" spans="1:5" x14ac:dyDescent="0.15">
      <c r="A92">
        <v>5.1083500000000003E-10</v>
      </c>
      <c r="B92">
        <v>5.1070170000000003E-10</v>
      </c>
      <c r="C92">
        <v>5.1028499999999996E-10</v>
      </c>
      <c r="D92">
        <v>5.1064330000000002E-10</v>
      </c>
      <c r="E92">
        <v>5.1051000000000003E-10</v>
      </c>
    </row>
    <row r="93" spans="1:5" x14ac:dyDescent="0.15">
      <c r="A93">
        <v>5.1091000000000005E-10</v>
      </c>
      <c r="B93">
        <v>5.1081000000000002E-10</v>
      </c>
      <c r="C93">
        <v>5.1054329999999999E-10</v>
      </c>
      <c r="D93">
        <v>5.1059330000000001E-10</v>
      </c>
      <c r="E93">
        <v>5.1051000000000003E-10</v>
      </c>
    </row>
    <row r="94" spans="1:5" x14ac:dyDescent="0.15">
      <c r="A94">
        <v>5.1076E-10</v>
      </c>
      <c r="B94">
        <v>5.1051829999999999E-10</v>
      </c>
      <c r="C94">
        <v>5.105683E-10</v>
      </c>
      <c r="D94">
        <v>5.1047669999999996E-10</v>
      </c>
      <c r="E94">
        <v>5.1033499999999998E-10</v>
      </c>
    </row>
    <row r="95" spans="1:5" x14ac:dyDescent="0.15">
      <c r="A95">
        <v>5.1100999999999998E-10</v>
      </c>
      <c r="B95">
        <v>5.1058499999999995E-10</v>
      </c>
      <c r="C95">
        <v>5.1059330000000001E-10</v>
      </c>
      <c r="D95">
        <v>5.1072670000000004E-10</v>
      </c>
      <c r="E95">
        <v>5.1052669999999998E-10</v>
      </c>
    </row>
    <row r="96" spans="1:5" x14ac:dyDescent="0.15">
      <c r="A96">
        <v>5.1095999999999996E-10</v>
      </c>
      <c r="B96">
        <v>5.1103499999999998E-10</v>
      </c>
      <c r="C96">
        <v>5.1074329999999995E-10</v>
      </c>
      <c r="D96">
        <v>5.1090169999999999E-10</v>
      </c>
      <c r="E96">
        <v>5.105683E-10</v>
      </c>
    </row>
    <row r="97" spans="1:5" x14ac:dyDescent="0.15">
      <c r="A97">
        <v>5.1078500000000001E-10</v>
      </c>
      <c r="B97">
        <v>5.1049329999999998E-10</v>
      </c>
      <c r="C97">
        <v>5.1080169999999996E-10</v>
      </c>
      <c r="D97">
        <v>5.1065999999999997E-10</v>
      </c>
      <c r="E97">
        <v>5.109267E-10</v>
      </c>
    </row>
    <row r="98" spans="1:5" x14ac:dyDescent="0.15">
      <c r="A98">
        <v>5.1099330000000003E-10</v>
      </c>
      <c r="B98">
        <v>5.1090169999999999E-10</v>
      </c>
      <c r="C98">
        <v>5.1074329999999995E-10</v>
      </c>
      <c r="D98">
        <v>5.1087669999999998E-10</v>
      </c>
      <c r="E98">
        <v>5.1076829999999996E-10</v>
      </c>
    </row>
    <row r="99" spans="1:5" x14ac:dyDescent="0.15">
      <c r="A99">
        <v>5.1100170000000002E-10</v>
      </c>
      <c r="B99">
        <v>5.108933E-10</v>
      </c>
      <c r="C99">
        <v>5.1065170000000001E-10</v>
      </c>
      <c r="D99">
        <v>5.1086829999999999E-10</v>
      </c>
      <c r="E99">
        <v>5.105683E-10</v>
      </c>
    </row>
    <row r="100" spans="1:5" x14ac:dyDescent="0.15">
      <c r="A100">
        <v>5.1112669999999995E-10</v>
      </c>
      <c r="B100">
        <v>5.1076829999999996E-10</v>
      </c>
      <c r="C100">
        <v>5.1070170000000003E-10</v>
      </c>
      <c r="D100">
        <v>5.1076829999999996E-10</v>
      </c>
      <c r="E100">
        <v>5.1075170000000004E-10</v>
      </c>
    </row>
  </sheetData>
  <phoneticPr fontId="0" type="noConversion"/>
  <printOptions gridLines="1" gridLinesSet="0"/>
  <pageMargins left="0.75" right="0.75" top="1" bottom="1" header="0.5" footer="0.5"/>
  <pageSetup orientation="landscape" horizontalDpi="300" verticalDpi="300" r:id="rId1"/>
  <headerFooter alignWithMargins="0">
    <oddHeader>&amp;F</oddHeader>
    <oddFooter>Page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9"/>
  <dimension ref="A1:BR70"/>
  <sheetViews>
    <sheetView workbookViewId="0">
      <selection activeCell="BN1" sqref="BN1:BR49"/>
    </sheetView>
  </sheetViews>
  <sheetFormatPr baseColWidth="10" defaultColWidth="8.83203125" defaultRowHeight="13" x14ac:dyDescent="0.15"/>
  <cols>
    <col min="1" max="1" width="8.83203125" customWidth="1"/>
    <col min="45" max="45" width="8.83203125" customWidth="1"/>
  </cols>
  <sheetData>
    <row r="1" spans="1:70" x14ac:dyDescent="0.15">
      <c r="A1">
        <f>'Raw Counts'!A1</f>
        <v>96457.093350029376</v>
      </c>
      <c r="B1">
        <f>'Raw Counts'!B1</f>
        <v>132795.36983586953</v>
      </c>
      <c r="C1">
        <f>'Raw Counts'!C1</f>
        <v>14178.622523438164</v>
      </c>
      <c r="D1">
        <f>'Raw Counts'!D1</f>
        <v>8785.3530080876935</v>
      </c>
      <c r="E1">
        <f>'Raw Counts'!E1</f>
        <v>5728.7467353197208</v>
      </c>
      <c r="F1">
        <f>'Raw Counts'!F1</f>
        <v>103378.72586098101</v>
      </c>
      <c r="G1">
        <f>'Raw Counts'!G1</f>
        <v>138950.44970667528</v>
      </c>
      <c r="H1">
        <f>'Raw Counts'!H1</f>
        <v>14032.556016308254</v>
      </c>
      <c r="I1">
        <f>'Raw Counts'!I1</f>
        <v>9184.7055631907988</v>
      </c>
      <c r="J1">
        <f>'Raw Counts'!J1</f>
        <v>6004.9669520691823</v>
      </c>
      <c r="K1">
        <f>'Raw Counts'!K1</f>
        <v>116442.14952264553</v>
      </c>
      <c r="L1">
        <f>'Raw Counts'!L1</f>
        <v>138556.97845428358</v>
      </c>
      <c r="M1">
        <f>'Raw Counts'!M1</f>
        <v>15741.602995393727</v>
      </c>
      <c r="N1">
        <f>'Raw Counts'!N1</f>
        <v>9054.3668632316439</v>
      </c>
      <c r="O1">
        <f>'Raw Counts'!O1</f>
        <v>6035.194964358031</v>
      </c>
      <c r="P1">
        <f>'Raw Counts'!P1</f>
        <v>77965.760471650559</v>
      </c>
      <c r="Q1">
        <f>'Raw Counts'!Q1</f>
        <v>134751.09005010111</v>
      </c>
      <c r="R1">
        <f>'Raw Counts'!R1</f>
        <v>11291.239888540969</v>
      </c>
      <c r="S1">
        <f>'Raw Counts'!S1</f>
        <v>8663.3609769884024</v>
      </c>
      <c r="T1">
        <f>'Raw Counts'!T1</f>
        <v>5400.4208117754824</v>
      </c>
      <c r="U1">
        <f>'Raw Counts'!U1</f>
        <v>81441.967828885288</v>
      </c>
      <c r="V1">
        <f>'Raw Counts'!V1</f>
        <v>134503.74742756921</v>
      </c>
      <c r="W1">
        <f>'Raw Counts'!W1</f>
        <v>11633.341023520536</v>
      </c>
      <c r="X1">
        <f>'Raw Counts'!X1</f>
        <v>8745.7308178018993</v>
      </c>
      <c r="Y1">
        <f>'Raw Counts'!Y1</f>
        <v>5625.5573099828516</v>
      </c>
      <c r="Z1">
        <f>'Raw Counts'!Z1</f>
        <v>87811.47451148674</v>
      </c>
      <c r="AA1">
        <f>'Raw Counts'!AA1</f>
        <v>138262.92697196116</v>
      </c>
      <c r="AB1">
        <f>'Raw Counts'!AB1</f>
        <v>13291.863498964924</v>
      </c>
      <c r="AC1">
        <f>'Raw Counts'!AC1</f>
        <v>9270.209318212268</v>
      </c>
      <c r="AD1">
        <f>'Raw Counts'!AD1</f>
        <v>6190.5073722066218</v>
      </c>
      <c r="AE1">
        <f>'Raw Counts'!AE1</f>
        <v>102340.93337590185</v>
      </c>
      <c r="AF1">
        <f>'Raw Counts'!AF1</f>
        <v>136455.5729681089</v>
      </c>
      <c r="AG1">
        <f>'Raw Counts'!AG1</f>
        <v>15493.266648694973</v>
      </c>
      <c r="AH1">
        <f>'Raw Counts'!AH1</f>
        <v>9349.4564425761309</v>
      </c>
      <c r="AI1">
        <f>'Raw Counts'!AI1</f>
        <v>6036.2376564589704</v>
      </c>
      <c r="AJ1">
        <f>'Raw Counts'!AJ1</f>
        <v>94572.793513266559</v>
      </c>
      <c r="AK1">
        <f>'Raw Counts'!AK1</f>
        <v>136966.31036416671</v>
      </c>
      <c r="AL1">
        <f>'Raw Counts'!AL1</f>
        <v>14213.046246053027</v>
      </c>
      <c r="AM1">
        <f>'Raw Counts'!AM1</f>
        <v>9255.6104488133587</v>
      </c>
      <c r="AN1">
        <f>'Raw Counts'!AN1</f>
        <v>6047.7032748020592</v>
      </c>
      <c r="AO1">
        <f>'Raw Counts'!AO1</f>
        <v>92670.993473685099</v>
      </c>
      <c r="AP1">
        <f>'Raw Counts'!AP1</f>
        <v>138026.04782858083</v>
      </c>
      <c r="AQ1">
        <f>'Raw Counts'!AQ1</f>
        <v>14106.630591702513</v>
      </c>
      <c r="AR1">
        <f>'Raw Counts'!AR1</f>
        <v>9219.1153799388048</v>
      </c>
      <c r="AS1">
        <f>'Raw Counts'!AS1</f>
        <v>5925.7479822169125</v>
      </c>
      <c r="AT1">
        <f>'Raw Counts'!AT1</f>
        <v>88860.167544663695</v>
      </c>
      <c r="AU1">
        <f>'Raw Counts'!AU1</f>
        <v>136603.58334609229</v>
      </c>
      <c r="AV1">
        <f>'Raw Counts'!AV1</f>
        <v>13851.027785188229</v>
      </c>
      <c r="AW1">
        <f>'Raw Counts'!AW1</f>
        <v>9030.3840173188728</v>
      </c>
      <c r="AX1">
        <f>'Raw Counts'!AX1</f>
        <v>5757.9321693560059</v>
      </c>
      <c r="AY1">
        <f>'Raw Counts'!AY1</f>
        <v>104751.67494287121</v>
      </c>
      <c r="AZ1">
        <f>'Raw Counts'!AZ1</f>
        <v>143004.55439346234</v>
      </c>
      <c r="BA1">
        <f>'Raw Counts'!BA1</f>
        <v>15178.145398107583</v>
      </c>
      <c r="BB1">
        <f>'Raw Counts'!BB1</f>
        <v>9262.9098805815411</v>
      </c>
      <c r="BC1">
        <f>'Raw Counts'!BC1</f>
        <v>6023.7293617932337</v>
      </c>
      <c r="BD1">
        <f>'Raw Counts'!BD1</f>
        <v>93924.427755501718</v>
      </c>
      <c r="BE1">
        <f>'Raw Counts'!BE1</f>
        <v>144651.35447324257</v>
      </c>
      <c r="BF1">
        <f>'Raw Counts'!BF1</f>
        <v>13519.278662895404</v>
      </c>
      <c r="BG1">
        <f>'Raw Counts'!BG1</f>
        <v>9189.9188297443834</v>
      </c>
      <c r="BH1">
        <f>'Raw Counts'!BH1</f>
        <v>5818.3866513867015</v>
      </c>
      <c r="BI1">
        <f>'Raw Counts'!BI1</f>
        <v>93595.003325391415</v>
      </c>
      <c r="BJ1">
        <f>'Raw Counts'!BJ1</f>
        <v>143719.96988902078</v>
      </c>
      <c r="BK1">
        <f>'Raw Counts'!BK1</f>
        <v>13742.533222542739</v>
      </c>
      <c r="BL1">
        <f>'Raw Counts'!BL1</f>
        <v>9075.2206493377671</v>
      </c>
      <c r="BM1">
        <f>'Raw Counts'!BM1</f>
        <v>5928.8750205607848</v>
      </c>
      <c r="BN1">
        <f>'Raw Counts'!BN1</f>
        <v>105557.75858265055</v>
      </c>
      <c r="BO1">
        <f>'Raw Counts'!BO1</f>
        <v>145188.97371629806</v>
      </c>
      <c r="BP1">
        <f>'Raw Counts'!BP1</f>
        <v>15214.666408544052</v>
      </c>
      <c r="BQ1">
        <f>'Raw Counts'!BQ1</f>
        <v>9393.2515712900731</v>
      </c>
      <c r="BR1">
        <f>'Raw Counts'!BR1</f>
        <v>6196.7616321441328</v>
      </c>
    </row>
    <row r="2" spans="1:70" x14ac:dyDescent="0.15">
      <c r="A2">
        <f>'Raw Counts'!A2</f>
        <v>96717.145310449938</v>
      </c>
      <c r="B2">
        <f>'Raw Counts'!B2</f>
        <v>132776.39418250098</v>
      </c>
      <c r="C2">
        <f>'Raw Counts'!C2</f>
        <v>14340.336028829492</v>
      </c>
      <c r="D2">
        <f>'Raw Counts'!D2</f>
        <v>8917.7728945455019</v>
      </c>
      <c r="E2">
        <f>'Raw Counts'!E2</f>
        <v>5804.8369914729738</v>
      </c>
      <c r="F2">
        <f>'Raw Counts'!F2</f>
        <v>107150.30819551767</v>
      </c>
      <c r="G2">
        <f>'Raw Counts'!G2</f>
        <v>139787.10256604638</v>
      </c>
      <c r="H2">
        <f>'Raw Counts'!H2</f>
        <v>14257.906451520834</v>
      </c>
      <c r="I2">
        <f>'Raw Counts'!I2</f>
        <v>8775.9689475619198</v>
      </c>
      <c r="J2">
        <f>'Raw Counts'!J2</f>
        <v>6084.1856116929821</v>
      </c>
      <c r="K2">
        <f>'Raw Counts'!K2</f>
        <v>117660.86574507653</v>
      </c>
      <c r="L2">
        <f>'Raw Counts'!L2</f>
        <v>139598.82608448874</v>
      </c>
      <c r="M2">
        <f>'Raw Counts'!M2</f>
        <v>16416.756353884557</v>
      </c>
      <c r="N2">
        <f>'Raw Counts'!N2</f>
        <v>9098.1605700209839</v>
      </c>
      <c r="O2">
        <f>'Raw Counts'!O2</f>
        <v>6078.9741262202997</v>
      </c>
      <c r="P2">
        <f>'Raw Counts'!P2</f>
        <v>78981.792640344109</v>
      </c>
      <c r="Q2">
        <f>'Raw Counts'!Q2</f>
        <v>135022.79918996297</v>
      </c>
      <c r="R2">
        <f>'Raw Counts'!R2</f>
        <v>11307.93062469747</v>
      </c>
      <c r="S2">
        <f>'Raw Counts'!S2</f>
        <v>8672.7449212476968</v>
      </c>
      <c r="T2">
        <f>'Raw Counts'!T2</f>
        <v>5519.24215760277</v>
      </c>
      <c r="U2">
        <f>'Raw Counts'!U2</f>
        <v>81626.961428293012</v>
      </c>
      <c r="V2">
        <f>'Raw Counts'!V2</f>
        <v>134618.94308969041</v>
      </c>
      <c r="W2">
        <f>'Raw Counts'!W2</f>
        <v>11727.211573161683</v>
      </c>
      <c r="X2">
        <f>'Raw Counts'!X2</f>
        <v>8707.1527997578505</v>
      </c>
      <c r="Y2">
        <f>'Raw Counts'!Y2</f>
        <v>5647.4458780722607</v>
      </c>
      <c r="Z2">
        <f>'Raw Counts'!Z2</f>
        <v>88863.328327646537</v>
      </c>
      <c r="AA2">
        <f>'Raw Counts'!AA2</f>
        <v>137906.44296833663</v>
      </c>
      <c r="AB2">
        <f>'Raw Counts'!AB2</f>
        <v>13707.059697492721</v>
      </c>
      <c r="AC2">
        <f>'Raw Counts'!AC2</f>
        <v>9205.5596483605768</v>
      </c>
      <c r="AD2">
        <f>'Raw Counts'!AD2</f>
        <v>6095.6522911900092</v>
      </c>
      <c r="AE2">
        <f>'Raw Counts'!AE2</f>
        <v>102873.01348271218</v>
      </c>
      <c r="AF2">
        <f>'Raw Counts'!AF2</f>
        <v>137672.7205426853</v>
      </c>
      <c r="AG2">
        <f>'Raw Counts'!AG2</f>
        <v>14990.333962744864</v>
      </c>
      <c r="AH2">
        <f>'Raw Counts'!AH2</f>
        <v>9359.8841687099193</v>
      </c>
      <c r="AI2">
        <f>'Raw Counts'!AI2</f>
        <v>6015.3898411375912</v>
      </c>
      <c r="AJ2">
        <f>'Raw Counts'!AJ2</f>
        <v>94692.787740879983</v>
      </c>
      <c r="AK2">
        <f>'Raw Counts'!AK2</f>
        <v>136593.02559841092</v>
      </c>
      <c r="AL2">
        <f>'Raw Counts'!AL2</f>
        <v>13723.754871168869</v>
      </c>
      <c r="AM2">
        <f>'Raw Counts'!AM2</f>
        <v>9396.3798028450019</v>
      </c>
      <c r="AN2">
        <f>'Raw Counts'!AN2</f>
        <v>6102.9481849417416</v>
      </c>
      <c r="AO2">
        <f>'Raw Counts'!AO2</f>
        <v>92744.661867011193</v>
      </c>
      <c r="AP2">
        <f>'Raw Counts'!AP2</f>
        <v>137293.11213319754</v>
      </c>
      <c r="AQ2">
        <f>'Raw Counts'!AQ2</f>
        <v>13632.998394051483</v>
      </c>
      <c r="AR2">
        <f>'Raw Counts'!AR2</f>
        <v>9220.1584373638125</v>
      </c>
      <c r="AS2">
        <f>'Raw Counts'!AS2</f>
        <v>6010.1783951093767</v>
      </c>
      <c r="AT2">
        <f>'Raw Counts'!AT2</f>
        <v>89406.130881821344</v>
      </c>
      <c r="AU2">
        <f>'Raw Counts'!AU2</f>
        <v>136762.25559418392</v>
      </c>
      <c r="AV2">
        <f>'Raw Counts'!AV2</f>
        <v>13728.972745177542</v>
      </c>
      <c r="AW2">
        <f>'Raw Counts'!AW2</f>
        <v>9080.4338530908171</v>
      </c>
      <c r="AX2">
        <f>'Raw Counts'!AX2</f>
        <v>5782.948044363874</v>
      </c>
      <c r="AY2">
        <f>'Raw Counts'!AY2</f>
        <v>105851.86342099475</v>
      </c>
      <c r="AZ2">
        <f>'Raw Counts'!AZ2</f>
        <v>141909.39344596755</v>
      </c>
      <c r="BA2">
        <f>'Raw Counts'!BA2</f>
        <v>15172.936708633619</v>
      </c>
      <c r="BB2">
        <f>'Raw Counts'!BB2</f>
        <v>9236.8413663433239</v>
      </c>
      <c r="BC2">
        <f>'Raw Counts'!BC2</f>
        <v>6116.4992899326899</v>
      </c>
      <c r="BD2">
        <f>'Raw Counts'!BD2</f>
        <v>92640.473597426244</v>
      </c>
      <c r="BE2">
        <f>'Raw Counts'!BE2</f>
        <v>144021.6154299659</v>
      </c>
      <c r="BF2">
        <f>'Raw Counts'!BF2</f>
        <v>14196.360189071027</v>
      </c>
      <c r="BG2">
        <f>'Raw Counts'!BG2</f>
        <v>9051.2387493929109</v>
      </c>
      <c r="BH2">
        <f>'Raw Counts'!BH2</f>
        <v>5943.4675468388086</v>
      </c>
      <c r="BI2">
        <f>'Raw Counts'!BI2</f>
        <v>92974.076270906226</v>
      </c>
      <c r="BJ2">
        <f>'Raw Counts'!BJ2</f>
        <v>141334.89578462072</v>
      </c>
      <c r="BK2">
        <f>'Raw Counts'!BK2</f>
        <v>13427.482690254168</v>
      </c>
      <c r="BL2">
        <f>'Raw Counts'!BL2</f>
        <v>9037.6832682009626</v>
      </c>
      <c r="BM2">
        <f>'Raw Counts'!BM2</f>
        <v>5925.7479822169125</v>
      </c>
      <c r="BN2">
        <f>'Raw Counts'!BN2</f>
        <v>106774.00010241677</v>
      </c>
      <c r="BO2">
        <f>'Raw Counts'!BO2</f>
        <v>144612.13420907463</v>
      </c>
      <c r="BP2">
        <f>'Raw Counts'!BP2</f>
        <v>15690.474663840245</v>
      </c>
      <c r="BQ2">
        <f>'Raw Counts'!BQ2</f>
        <v>9357.7990229380812</v>
      </c>
      <c r="BR2">
        <f>'Raw Counts'!BR2</f>
        <v>6230.1184249491298</v>
      </c>
    </row>
    <row r="3" spans="1:70" x14ac:dyDescent="0.15">
      <c r="A3">
        <f>'Raw Counts'!A3</f>
        <v>97298.322202320865</v>
      </c>
      <c r="B3">
        <f>'Raw Counts'!B3</f>
        <v>133084.98179984654</v>
      </c>
      <c r="C3">
        <f>'Raw Counts'!C3</f>
        <v>14063.854353691748</v>
      </c>
      <c r="D3">
        <f>'Raw Counts'!D3</f>
        <v>8957.3958348579399</v>
      </c>
      <c r="E3">
        <f>'Raw Counts'!E3</f>
        <v>5817.3449849163353</v>
      </c>
      <c r="F3">
        <f>'Raw Counts'!F3</f>
        <v>106160.64836008634</v>
      </c>
      <c r="G3">
        <f>'Raw Counts'!G3</f>
        <v>140635.51235976745</v>
      </c>
      <c r="H3">
        <f>'Raw Counts'!H3</f>
        <v>14518.739030347058</v>
      </c>
      <c r="I3">
        <f>'Raw Counts'!I3</f>
        <v>9341.1148709003028</v>
      </c>
      <c r="J3">
        <f>'Raw Counts'!J3</f>
        <v>6131.0921174343048</v>
      </c>
      <c r="K3">
        <f>'Raw Counts'!K3</f>
        <v>114884.93132686611</v>
      </c>
      <c r="L3">
        <f>'Raw Counts'!L3</f>
        <v>139005.38473057805</v>
      </c>
      <c r="M3">
        <f>'Raw Counts'!M3</f>
        <v>16551.380294491406</v>
      </c>
      <c r="N3">
        <f>'Raw Counts'!N3</f>
        <v>9259.7816949657717</v>
      </c>
      <c r="O3">
        <f>'Raw Counts'!O3</f>
        <v>6097.7366887113385</v>
      </c>
      <c r="P3">
        <f>'Raw Counts'!P3</f>
        <v>78350.305917165184</v>
      </c>
      <c r="Q3">
        <f>'Raw Counts'!Q3</f>
        <v>134285.94536018514</v>
      </c>
      <c r="R3">
        <f>'Raw Counts'!R3</f>
        <v>11122.281702663871</v>
      </c>
      <c r="S3">
        <f>'Raw Counts'!S3</f>
        <v>8488.1957958767507</v>
      </c>
      <c r="T3">
        <f>'Raw Counts'!T3</f>
        <v>5608.880007564273</v>
      </c>
      <c r="U3">
        <f>'Raw Counts'!U3</f>
        <v>81747.833888816225</v>
      </c>
      <c r="V3">
        <f>'Raw Counts'!V3</f>
        <v>134774.3326872201</v>
      </c>
      <c r="W3">
        <f>'Raw Counts'!W3</f>
        <v>12041.161786737604</v>
      </c>
      <c r="X3">
        <f>'Raw Counts'!X3</f>
        <v>8594.5456817966678</v>
      </c>
      <c r="Y3">
        <f>'Raw Counts'!Y3</f>
        <v>5640.1493493122161</v>
      </c>
      <c r="Z3">
        <f>'Raw Counts'!Z3</f>
        <v>88691.870064732022</v>
      </c>
      <c r="AA3">
        <f>'Raw Counts'!AA3</f>
        <v>137630.4846400989</v>
      </c>
      <c r="AB3">
        <f>'Raw Counts'!AB3</f>
        <v>14248.521746325323</v>
      </c>
      <c r="AC3">
        <f>'Raw Counts'!AC3</f>
        <v>9123.1856400734068</v>
      </c>
      <c r="AD3">
        <f>'Raw Counts'!AD3</f>
        <v>6094.6095922732366</v>
      </c>
      <c r="AE3">
        <f>'Raw Counts'!AE3</f>
        <v>103371.34225731276</v>
      </c>
      <c r="AF3">
        <f>'Raw Counts'!AF3</f>
        <v>137832.4268299157</v>
      </c>
      <c r="AG3">
        <f>'Raw Counts'!AG3</f>
        <v>14784.797576367431</v>
      </c>
      <c r="AH3">
        <f>'Raw Counts'!AH3</f>
        <v>9140.9114393819909</v>
      </c>
      <c r="AI3">
        <f>'Raw Counts'!AI3</f>
        <v>5854.8690685203346</v>
      </c>
      <c r="AJ3">
        <f>'Raw Counts'!AJ3</f>
        <v>95074.890255274717</v>
      </c>
      <c r="AK3">
        <f>'Raw Counts'!AK3</f>
        <v>136808.75125175255</v>
      </c>
      <c r="AL3">
        <f>'Raw Counts'!AL3</f>
        <v>13998.13297739675</v>
      </c>
      <c r="AM3">
        <f>'Raw Counts'!AM3</f>
        <v>9116.9293661004394</v>
      </c>
      <c r="AN3">
        <f>'Raw Counts'!AN3</f>
        <v>5960.1454631688466</v>
      </c>
      <c r="AO3">
        <f>'Raw Counts'!AO3</f>
        <v>93238.231293612655</v>
      </c>
      <c r="AP3">
        <f>'Raw Counts'!AP3</f>
        <v>137070.97904757035</v>
      </c>
      <c r="AQ3">
        <f>'Raw Counts'!AQ3</f>
        <v>14102.464131197918</v>
      </c>
      <c r="AR3">
        <f>'Raw Counts'!AR3</f>
        <v>9315.046132348396</v>
      </c>
      <c r="AS3">
        <f>'Raw Counts'!AS3</f>
        <v>5953.8913660408252</v>
      </c>
      <c r="AT3">
        <f>'Raw Counts'!AT3</f>
        <v>87533.806346742014</v>
      </c>
      <c r="AU3">
        <f>'Raw Counts'!AU3</f>
        <v>136077.03068056848</v>
      </c>
      <c r="AV3">
        <f>'Raw Counts'!AV3</f>
        <v>13639.257777685312</v>
      </c>
      <c r="AW3">
        <f>'Raw Counts'!AW3</f>
        <v>9061.6651323774258</v>
      </c>
      <c r="AX3">
        <f>'Raw Counts'!AX3</f>
        <v>5974.7380396497629</v>
      </c>
      <c r="AY3">
        <f>'Raw Counts'!AY3</f>
        <v>107285.19199045301</v>
      </c>
      <c r="AZ3">
        <f>'Raw Counts'!AZ3</f>
        <v>142614.15764843329</v>
      </c>
      <c r="BA3">
        <f>'Raw Counts'!BA3</f>
        <v>15365.96071521617</v>
      </c>
      <c r="BB3">
        <f>'Raw Counts'!BB3</f>
        <v>9384.9099594185627</v>
      </c>
      <c r="BC3">
        <f>'Raw Counts'!BC3</f>
        <v>5935.1291004760014</v>
      </c>
      <c r="BD3">
        <f>'Raw Counts'!BD3</f>
        <v>95108.571181965148</v>
      </c>
      <c r="BE3">
        <f>'Raw Counts'!BE3</f>
        <v>143626.80622085501</v>
      </c>
      <c r="BF3">
        <f>'Raw Counts'!BF3</f>
        <v>14354.939062287422</v>
      </c>
      <c r="BG3">
        <f>'Raw Counts'!BG3</f>
        <v>9077.3057302802936</v>
      </c>
      <c r="BH3">
        <f>'Raw Counts'!BH3</f>
        <v>5763.1434707603603</v>
      </c>
      <c r="BI3">
        <f>'Raw Counts'!BI3</f>
        <v>92753.077397646863</v>
      </c>
      <c r="BJ3">
        <f>'Raw Counts'!BJ3</f>
        <v>142817.3284572266</v>
      </c>
      <c r="BK3">
        <f>'Raw Counts'!BK3</f>
        <v>13718.537000156113</v>
      </c>
      <c r="BL3">
        <f>'Raw Counts'!BL3</f>
        <v>8835.4014945287254</v>
      </c>
      <c r="BM3">
        <f>'Raw Counts'!BM3</f>
        <v>5962.2298296157087</v>
      </c>
      <c r="BN3">
        <f>'Raw Counts'!BN3</f>
        <v>108518.5661685707</v>
      </c>
      <c r="BO3">
        <f>'Raw Counts'!BO3</f>
        <v>145507.63817845151</v>
      </c>
      <c r="BP3">
        <f>'Raw Counts'!BP3</f>
        <v>15365.96071521617</v>
      </c>
      <c r="BQ3">
        <f>'Raw Counts'!BQ3</f>
        <v>9446.4316541585122</v>
      </c>
      <c r="BR3">
        <f>'Raw Counts'!BR3</f>
        <v>6212.3973008156818</v>
      </c>
    </row>
    <row r="4" spans="1:70" x14ac:dyDescent="0.15">
      <c r="A4">
        <f>'Raw Counts'!A4</f>
        <v>99497.024012055655</v>
      </c>
      <c r="B4">
        <f>'Raw Counts'!B4</f>
        <v>133154.79854291244</v>
      </c>
      <c r="C4">
        <f>'Raw Counts'!C4</f>
        <v>13985.613720049087</v>
      </c>
      <c r="D4">
        <f>'Raw Counts'!D4</f>
        <v>9031.4270530842132</v>
      </c>
      <c r="E4">
        <f>'Raw Counts'!E4</f>
        <v>5772.5244211985246</v>
      </c>
      <c r="F4">
        <f>'Raw Counts'!F4</f>
        <v>105089.86119544959</v>
      </c>
      <c r="G4">
        <f>'Raw Counts'!G4</f>
        <v>139996.60791241087</v>
      </c>
      <c r="H4">
        <f>'Raw Counts'!H4</f>
        <v>15131.197183691025</v>
      </c>
      <c r="I4">
        <f>'Raw Counts'!I4</f>
        <v>9405.7645039701783</v>
      </c>
      <c r="J4">
        <f>'Raw Counts'!J4</f>
        <v>6035.194964358031</v>
      </c>
      <c r="K4">
        <f>'Raw Counts'!K4</f>
        <v>116312.39644089396</v>
      </c>
      <c r="L4">
        <f>'Raw Counts'!L4</f>
        <v>139287.88396122065</v>
      </c>
      <c r="M4">
        <f>'Raw Counts'!M4</f>
        <v>16525.292868164808</v>
      </c>
      <c r="N4">
        <f>'Raw Counts'!N4</f>
        <v>9089.818227982094</v>
      </c>
      <c r="O4">
        <f>'Raw Counts'!O4</f>
        <v>6049.7876613276958</v>
      </c>
      <c r="P4">
        <f>'Raw Counts'!P4</f>
        <v>79507.197596933242</v>
      </c>
      <c r="Q4">
        <f>'Raw Counts'!Q4</f>
        <v>133778.50512833125</v>
      </c>
      <c r="R4">
        <f>'Raw Counts'!R4</f>
        <v>11583.277126832532</v>
      </c>
      <c r="S4">
        <f>'Raw Counts'!S4</f>
        <v>8485.0678768940452</v>
      </c>
      <c r="T4">
        <f>'Raw Counts'!T4</f>
        <v>5452.5349123746273</v>
      </c>
      <c r="U4">
        <f>'Raw Counts'!U4</f>
        <v>81928.625932264011</v>
      </c>
      <c r="V4">
        <f>'Raw Counts'!V4</f>
        <v>134475.12635373048</v>
      </c>
      <c r="W4">
        <f>'Raw Counts'!W4</f>
        <v>11942.071143105277</v>
      </c>
      <c r="X4">
        <f>'Raw Counts'!X4</f>
        <v>8701.9388091538185</v>
      </c>
      <c r="Y4">
        <f>'Raw Counts'!Y4</f>
        <v>5658.9110059954583</v>
      </c>
      <c r="Z4">
        <f>'Raw Counts'!Z4</f>
        <v>87830.40674139878</v>
      </c>
      <c r="AA4">
        <f>'Raw Counts'!AA4</f>
        <v>138812.96129237881</v>
      </c>
      <c r="AB4">
        <f>'Raw Counts'!AB4</f>
        <v>13428.524227837037</v>
      </c>
      <c r="AC4">
        <f>'Raw Counts'!AC4</f>
        <v>9194.0900457474818</v>
      </c>
      <c r="AD4">
        <f>'Raw Counts'!AD4</f>
        <v>5977.8650948478125</v>
      </c>
      <c r="AE4">
        <f>'Raw Counts'!AE4</f>
        <v>101611.99084227819</v>
      </c>
      <c r="AF4">
        <f>'Raw Counts'!AF4</f>
        <v>137632.61673622989</v>
      </c>
      <c r="AG4">
        <f>'Raw Counts'!AG4</f>
        <v>14857.826566000356</v>
      </c>
      <c r="AH4">
        <f>'Raw Counts'!AH4</f>
        <v>9130.4839644816075</v>
      </c>
      <c r="AI4">
        <f>'Raw Counts'!AI4</f>
        <v>5969.5266169293827</v>
      </c>
      <c r="AJ4">
        <f>'Raw Counts'!AJ4</f>
        <v>95684.379770054817</v>
      </c>
      <c r="AK4">
        <f>'Raw Counts'!AK4</f>
        <v>136911.28618739828</v>
      </c>
      <c r="AL4">
        <f>'Raw Counts'!AL4</f>
        <v>14949.647004931816</v>
      </c>
      <c r="AM4">
        <f>'Raw Counts'!AM4</f>
        <v>9341.1148709003028</v>
      </c>
      <c r="AN4">
        <f>'Raw Counts'!AN4</f>
        <v>5997.6701363047641</v>
      </c>
      <c r="AO4">
        <f>'Raw Counts'!AO4</f>
        <v>93395.044774844879</v>
      </c>
      <c r="AP4">
        <f>'Raw Counts'!AP4</f>
        <v>137003.36557932955</v>
      </c>
      <c r="AQ4">
        <f>'Raw Counts'!AQ4</f>
        <v>14007.51742401427</v>
      </c>
      <c r="AR4">
        <f>'Raw Counts'!AR4</f>
        <v>9368.225757612483</v>
      </c>
      <c r="AS4">
        <f>'Raw Counts'!AS4</f>
        <v>5923.6636241359083</v>
      </c>
      <c r="AT4">
        <f>'Raw Counts'!AT4</f>
        <v>90241.433671942184</v>
      </c>
      <c r="AU4">
        <f>'Raw Counts'!AU4</f>
        <v>136013.58655162682</v>
      </c>
      <c r="AV4">
        <f>'Raw Counts'!AV4</f>
        <v>13619.428065139105</v>
      </c>
      <c r="AW4">
        <f>'Raw Counts'!AW4</f>
        <v>9121.0995476013159</v>
      </c>
      <c r="AX4">
        <f>'Raw Counts'!AX4</f>
        <v>6009.1357059977827</v>
      </c>
      <c r="AY4">
        <f>'Raw Counts'!AY4</f>
        <v>107414.91708362194</v>
      </c>
      <c r="AZ4">
        <f>'Raw Counts'!AZ4</f>
        <v>142843.74099719935</v>
      </c>
      <c r="BA4">
        <f>'Raw Counts'!BA4</f>
        <v>15008.073212851315</v>
      </c>
      <c r="BB4">
        <f>'Raw Counts'!BB4</f>
        <v>9305.6615248969301</v>
      </c>
      <c r="BC4">
        <f>'Raw Counts'!BC4</f>
        <v>6065.4230771744042</v>
      </c>
      <c r="BD4">
        <f>'Raw Counts'!BD4</f>
        <v>92830.949208899503</v>
      </c>
      <c r="BE4">
        <f>'Raw Counts'!BE4</f>
        <v>144205.71660245833</v>
      </c>
      <c r="BF4">
        <f>'Raw Counts'!BF4</f>
        <v>14048.210179259459</v>
      </c>
      <c r="BG4">
        <f>'Raw Counts'!BG4</f>
        <v>9092.9463550991186</v>
      </c>
      <c r="BH4">
        <f>'Raw Counts'!BH4</f>
        <v>5873.6311684142192</v>
      </c>
      <c r="BI4">
        <f>'Raw Counts'!BI4</f>
        <v>96902.440673074903</v>
      </c>
      <c r="BJ4">
        <f>'Raw Counts'!BJ4</f>
        <v>143657.48815184154</v>
      </c>
      <c r="BK4">
        <f>'Raw Counts'!BK4</f>
        <v>13539.108156908216</v>
      </c>
      <c r="BL4">
        <f>'Raw Counts'!BL4</f>
        <v>8960.5239163982424</v>
      </c>
      <c r="BM4">
        <f>'Raw Counts'!BM4</f>
        <v>5970.5693014972703</v>
      </c>
      <c r="BN4">
        <f>'Raw Counts'!BN4</f>
        <v>109045.64498069604</v>
      </c>
      <c r="BO4">
        <f>'Raw Counts'!BO4</f>
        <v>145027.10540696007</v>
      </c>
      <c r="BP4">
        <f>'Raw Counts'!BP4</f>
        <v>15887.696976431696</v>
      </c>
      <c r="BQ4">
        <f>'Raw Counts'!BQ4</f>
        <v>9488.1420744955813</v>
      </c>
      <c r="BR4">
        <f>'Raw Counts'!BR4</f>
        <v>6254.0928823316872</v>
      </c>
    </row>
    <row r="5" spans="1:70" x14ac:dyDescent="0.15">
      <c r="A5">
        <f>'Raw Counts'!A5</f>
        <v>99523.351010398052</v>
      </c>
      <c r="B5">
        <f>'Raw Counts'!B5</f>
        <v>133860.91148842781</v>
      </c>
      <c r="C5">
        <f>'Raw Counts'!C5</f>
        <v>14063.854353691748</v>
      </c>
      <c r="D5">
        <f>'Raw Counts'!D5</f>
        <v>9063.7512112077766</v>
      </c>
      <c r="E5">
        <f>'Raw Counts'!E5</f>
        <v>5862.1647690026502</v>
      </c>
      <c r="F5">
        <f>'Raw Counts'!F5</f>
        <v>105320.72127697208</v>
      </c>
      <c r="G5">
        <f>'Raw Counts'!G5</f>
        <v>140001.88876903101</v>
      </c>
      <c r="H5">
        <f>'Raw Counts'!H5</f>
        <v>14483.26247517392</v>
      </c>
      <c r="I5">
        <f>'Raw Counts'!I5</f>
        <v>9410.9788983619455</v>
      </c>
      <c r="J5">
        <f>'Raw Counts'!J5</f>
        <v>5947.6372732159844</v>
      </c>
      <c r="K5">
        <f>'Raw Counts'!K5</f>
        <v>118332.03497368054</v>
      </c>
      <c r="L5">
        <f>'Raw Counts'!L5</f>
        <v>139852.705754822</v>
      </c>
      <c r="M5">
        <f>'Raw Counts'!M5</f>
        <v>14940.251568875539</v>
      </c>
      <c r="N5">
        <f>'Raw Counts'!N5</f>
        <v>9107.5449632158161</v>
      </c>
      <c r="O5">
        <f>'Raw Counts'!O5</f>
        <v>5998.7128241010787</v>
      </c>
      <c r="P5">
        <f>'Raw Counts'!P5</f>
        <v>78235.782796601226</v>
      </c>
      <c r="Q5">
        <f>'Raw Counts'!Q5</f>
        <v>134480.40399175065</v>
      </c>
      <c r="R5">
        <f>'Raw Counts'!R5</f>
        <v>11072.220621186534</v>
      </c>
      <c r="S5">
        <f>'Raw Counts'!S5</f>
        <v>8735.304797245215</v>
      </c>
      <c r="T5">
        <f>'Raw Counts'!T5</f>
        <v>5508.8188368446354</v>
      </c>
      <c r="U5">
        <f>'Raw Counts'!U5</f>
        <v>82597.15490792277</v>
      </c>
      <c r="V5">
        <f>'Raw Counts'!V5</f>
        <v>134107.22166732926</v>
      </c>
      <c r="W5">
        <f>'Raw Counts'!W5</f>
        <v>12937.182113206234</v>
      </c>
      <c r="X5">
        <f>'Raw Counts'!X5</f>
        <v>8821.8463352474209</v>
      </c>
      <c r="Y5">
        <f>'Raw Counts'!Y5</f>
        <v>5786.0750335807388</v>
      </c>
      <c r="Z5">
        <f>'Raw Counts'!Z5</f>
        <v>88956.950613283931</v>
      </c>
      <c r="AA5">
        <f>'Raw Counts'!AA5</f>
        <v>137862.07382508207</v>
      </c>
      <c r="AB5">
        <f>'Raw Counts'!AB5</f>
        <v>13509.894720458464</v>
      </c>
      <c r="AC5">
        <f>'Raw Counts'!AC5</f>
        <v>9252.4822657099903</v>
      </c>
      <c r="AD5">
        <f>'Raw Counts'!AD5</f>
        <v>6087.3127045448746</v>
      </c>
      <c r="AE5">
        <f>'Raw Counts'!AE5</f>
        <v>102488.48867177745</v>
      </c>
      <c r="AF5">
        <f>'Raw Counts'!AF5</f>
        <v>137297.27464247408</v>
      </c>
      <c r="AG5">
        <f>'Raw Counts'!AG5</f>
        <v>14226.607445785317</v>
      </c>
      <c r="AH5">
        <f>'Raw Counts'!AH5</f>
        <v>9205.5596483605768</v>
      </c>
      <c r="AI5">
        <f>'Raw Counts'!AI5</f>
        <v>6119.6263939016917</v>
      </c>
      <c r="AJ5">
        <f>'Raw Counts'!AJ5</f>
        <v>94933.831891835638</v>
      </c>
      <c r="AK5">
        <f>'Raw Counts'!AK5</f>
        <v>138150.8325116171</v>
      </c>
      <c r="AL5">
        <f>'Raw Counts'!AL5</f>
        <v>14607.421008137129</v>
      </c>
      <c r="AM5">
        <f>'Raw Counts'!AM5</f>
        <v>9161.76542406507</v>
      </c>
      <c r="AN5">
        <f>'Raw Counts'!AN5</f>
        <v>5983.077523007486</v>
      </c>
      <c r="AO5">
        <f>'Raw Counts'!AO5</f>
        <v>93298.214327380381</v>
      </c>
      <c r="AP5">
        <f>'Raw Counts'!AP5</f>
        <v>137830.2946867446</v>
      </c>
      <c r="AQ5">
        <f>'Raw Counts'!AQ5</f>
        <v>14410.236495622989</v>
      </c>
      <c r="AR5">
        <f>'Raw Counts'!AR5</f>
        <v>9270.209318212268</v>
      </c>
      <c r="AS5">
        <f>'Raw Counts'!AS5</f>
        <v>5772.5244211985246</v>
      </c>
      <c r="AT5">
        <f>'Raw Counts'!AT5</f>
        <v>88778.118851096864</v>
      </c>
      <c r="AU5">
        <f>'Raw Counts'!AU5</f>
        <v>136522.16718726972</v>
      </c>
      <c r="AV5">
        <f>'Raw Counts'!AV5</f>
        <v>13780.090041701782</v>
      </c>
      <c r="AW5">
        <f>'Raw Counts'!AW5</f>
        <v>9106.5019187148719</v>
      </c>
      <c r="AX5">
        <f>'Raw Counts'!AX5</f>
        <v>5984.1192084713066</v>
      </c>
      <c r="AY5">
        <f>'Raw Counts'!AY5</f>
        <v>107807.03814985025</v>
      </c>
      <c r="AZ5">
        <f>'Raw Counts'!AZ5</f>
        <v>143190.869884274</v>
      </c>
      <c r="BA5">
        <f>'Raw Counts'!BA5</f>
        <v>14587.599198899024</v>
      </c>
      <c r="BB5">
        <f>'Raw Counts'!BB5</f>
        <v>9376.5683552030805</v>
      </c>
      <c r="BC5">
        <f>'Raw Counts'!BC5</f>
        <v>6179.041573724815</v>
      </c>
      <c r="BD5">
        <f>'Raw Counts'!BD5</f>
        <v>95319.097493104695</v>
      </c>
      <c r="BE5">
        <f>'Raw Counts'!BE5</f>
        <v>144488.37811621299</v>
      </c>
      <c r="BF5">
        <f>'Raw Counts'!BF5</f>
        <v>13201.111334984362</v>
      </c>
      <c r="BG5">
        <f>'Raw Counts'!BG5</f>
        <v>9077.3057302802936</v>
      </c>
      <c r="BH5">
        <f>'Raw Counts'!BH5</f>
        <v>5854.8690685203346</v>
      </c>
      <c r="BI5">
        <f>'Raw Counts'!BI5</f>
        <v>93905.482798395169</v>
      </c>
      <c r="BJ5">
        <f>'Raw Counts'!BJ5</f>
        <v>142734.73897355711</v>
      </c>
      <c r="BK5">
        <f>'Raw Counts'!BK5</f>
        <v>13365.932036992106</v>
      </c>
      <c r="BL5">
        <f>'Raw Counts'!BL5</f>
        <v>8912.5597840930805</v>
      </c>
      <c r="BM5">
        <f>'Raw Counts'!BM5</f>
        <v>5971.6109855275872</v>
      </c>
      <c r="BN5">
        <f>'Raw Counts'!BN5</f>
        <v>109635.00153920878</v>
      </c>
      <c r="BO5">
        <f>'Raw Counts'!BO5</f>
        <v>146137.48058600255</v>
      </c>
      <c r="BP5">
        <f>'Raw Counts'!BP5</f>
        <v>15449.442113534882</v>
      </c>
      <c r="BQ5">
        <f>'Raw Counts'!BQ5</f>
        <v>9561.135520438489</v>
      </c>
      <c r="BR5">
        <f>'Raw Counts'!BR5</f>
        <v>6327.0603600579034</v>
      </c>
    </row>
    <row r="6" spans="1:70" x14ac:dyDescent="0.15">
      <c r="A6">
        <f>'Raw Counts'!A6</f>
        <v>97167.761359381591</v>
      </c>
      <c r="B6">
        <f>'Raw Counts'!B6</f>
        <v>133636.83289228045</v>
      </c>
      <c r="C6">
        <f>'Raw Counts'!C6</f>
        <v>13690.374569561762</v>
      </c>
      <c r="D6">
        <f>'Raw Counts'!D6</f>
        <v>8897.9624901459647</v>
      </c>
      <c r="E6">
        <f>'Raw Counts'!E6</f>
        <v>5766.2704531640074</v>
      </c>
      <c r="F6">
        <f>'Raw Counts'!F6</f>
        <v>107281.04324666063</v>
      </c>
      <c r="G6">
        <f>'Raw Counts'!G6</f>
        <v>140576.30186618696</v>
      </c>
      <c r="H6">
        <f>'Raw Counts'!H6</f>
        <v>14427.974613351806</v>
      </c>
      <c r="I6">
        <f>'Raw Counts'!I6</f>
        <v>9382.8248079051154</v>
      </c>
      <c r="J6">
        <f>'Raw Counts'!J6</f>
        <v>6072.7199473300252</v>
      </c>
      <c r="K6">
        <f>'Raw Counts'!K6</f>
        <v>118624.42703181616</v>
      </c>
      <c r="L6">
        <f>'Raw Counts'!L6</f>
        <v>140317.12086573828</v>
      </c>
      <c r="M6">
        <f>'Raw Counts'!M6</f>
        <v>16391.711191316244</v>
      </c>
      <c r="N6">
        <f>'Raw Counts'!N6</f>
        <v>9056.4519393900246</v>
      </c>
      <c r="O6">
        <f>'Raw Counts'!O6</f>
        <v>6066.4657727430595</v>
      </c>
      <c r="P6">
        <f>'Raw Counts'!P6</f>
        <v>81541.81991068543</v>
      </c>
      <c r="Q6">
        <f>'Raw Counts'!Q6</f>
        <v>135307.20426411039</v>
      </c>
      <c r="R6">
        <f>'Raw Counts'!R6</f>
        <v>11668.806454820684</v>
      </c>
      <c r="S6">
        <f>'Raw Counts'!S6</f>
        <v>8548.6684405026972</v>
      </c>
      <c r="T6">
        <f>'Raw Counts'!T6</f>
        <v>5616.1765112231324</v>
      </c>
      <c r="U6">
        <f>'Raw Counts'!U6</f>
        <v>81535.513537106599</v>
      </c>
      <c r="V6">
        <f>'Raw Counts'!V6</f>
        <v>134440.31431844851</v>
      </c>
      <c r="W6">
        <f>'Raw Counts'!W6</f>
        <v>11853.415171375826</v>
      </c>
      <c r="X6">
        <f>'Raw Counts'!X6</f>
        <v>8667.5309503826065</v>
      </c>
      <c r="Y6">
        <f>'Raw Counts'!Y6</f>
        <v>5630.7685354927717</v>
      </c>
      <c r="Z6">
        <f>'Raw Counts'!Z6</f>
        <v>87677.899917546631</v>
      </c>
      <c r="AA6">
        <f>'Raw Counts'!AA6</f>
        <v>137448.54761917426</v>
      </c>
      <c r="AB6">
        <f>'Raw Counts'!AB6</f>
        <v>14013.777065620066</v>
      </c>
      <c r="AC6">
        <f>'Raw Counts'!AC6</f>
        <v>9146.1246808151755</v>
      </c>
      <c r="AD6">
        <f>'Raw Counts'!AD6</f>
        <v>6020.6022908163441</v>
      </c>
      <c r="AE6">
        <f>'Raw Counts'!AE6</f>
        <v>104726.38482379264</v>
      </c>
      <c r="AF6">
        <f>'Raw Counts'!AF6</f>
        <v>137988.98842879853</v>
      </c>
      <c r="AG6">
        <f>'Raw Counts'!AG6</f>
        <v>15104.072104435671</v>
      </c>
      <c r="AH6">
        <f>'Raw Counts'!AH6</f>
        <v>9175.3210903240015</v>
      </c>
      <c r="AI6">
        <f>'Raw Counts'!AI6</f>
        <v>6108.1606848323827</v>
      </c>
      <c r="AJ6">
        <f>'Raw Counts'!AJ6</f>
        <v>96234.958485876443</v>
      </c>
      <c r="AK6">
        <f>'Raw Counts'!AK6</f>
        <v>138299.8859568726</v>
      </c>
      <c r="AL6">
        <f>'Raw Counts'!AL6</f>
        <v>14451.962693247415</v>
      </c>
      <c r="AM6">
        <f>'Raw Counts'!AM6</f>
        <v>9416.1922947090079</v>
      </c>
      <c r="AN6">
        <f>'Raw Counts'!AN6</f>
        <v>6160.2788434012282</v>
      </c>
      <c r="AO6">
        <f>'Raw Counts'!AO6</f>
        <v>92792.013219679167</v>
      </c>
      <c r="AP6">
        <f>'Raw Counts'!AP6</f>
        <v>136895.44903242597</v>
      </c>
      <c r="AQ6">
        <f>'Raw Counts'!AQ6</f>
        <v>13831.207625764133</v>
      </c>
      <c r="AR6">
        <f>'Raw Counts'!AR6</f>
        <v>9179.4922996275036</v>
      </c>
      <c r="AS6">
        <f>'Raw Counts'!AS6</f>
        <v>5954.9340488150583</v>
      </c>
      <c r="AT6">
        <f>'Raw Counts'!AT6</f>
        <v>88736.049618077042</v>
      </c>
      <c r="AU6">
        <f>'Raw Counts'!AU6</f>
        <v>137245.49722417622</v>
      </c>
      <c r="AV6">
        <f>'Raw Counts'!AV6</f>
        <v>13034.200622761969</v>
      </c>
      <c r="AW6">
        <f>'Raw Counts'!AW6</f>
        <v>9018.9146357703066</v>
      </c>
      <c r="AX6">
        <f>'Raw Counts'!AX6</f>
        <v>5972.6536703345228</v>
      </c>
      <c r="AY6">
        <f>'Raw Counts'!AY6</f>
        <v>105700.10534686748</v>
      </c>
      <c r="AZ6">
        <f>'Raw Counts'!AZ6</f>
        <v>142721.02492557801</v>
      </c>
      <c r="BA6">
        <f>'Raw Counts'!BA6</f>
        <v>15553.779914251356</v>
      </c>
      <c r="BB6">
        <f>'Raw Counts'!BB6</f>
        <v>9213.9020966379467</v>
      </c>
      <c r="BC6">
        <f>'Raw Counts'!BC6</f>
        <v>6107.1179844807448</v>
      </c>
      <c r="BD6">
        <f>'Raw Counts'!BD6</f>
        <v>93281.382262021289</v>
      </c>
      <c r="BE6">
        <f>'Raw Counts'!BE6</f>
        <v>143791.90061789317</v>
      </c>
      <c r="BF6">
        <f>'Raw Counts'!BF6</f>
        <v>13889.636658464824</v>
      </c>
      <c r="BG6">
        <f>'Raw Counts'!BG6</f>
        <v>9138.8263438471713</v>
      </c>
      <c r="BH6">
        <f>'Raw Counts'!BH6</f>
        <v>5837.148675974975</v>
      </c>
      <c r="BI6">
        <f>'Raw Counts'!BI6</f>
        <v>95095.939556633006</v>
      </c>
      <c r="BJ6">
        <f>'Raw Counts'!BJ6</f>
        <v>142973.8746747947</v>
      </c>
      <c r="BK6">
        <f>'Raw Counts'!BK6</f>
        <v>13969.959664927281</v>
      </c>
      <c r="BL6">
        <f>'Raw Counts'!BL6</f>
        <v>8948.0115966966296</v>
      </c>
      <c r="BM6">
        <f>'Raw Counts'!BM6</f>
        <v>6040.4064247296001</v>
      </c>
      <c r="BN6">
        <f>'Raw Counts'!BN6</f>
        <v>105504.03767694702</v>
      </c>
      <c r="BO6">
        <f>'Raw Counts'!BO6</f>
        <v>145320.25886457405</v>
      </c>
      <c r="BP6">
        <f>'Raw Counts'!BP6</f>
        <v>15529.788925631034</v>
      </c>
      <c r="BQ6">
        <f>'Raw Counts'!BQ6</f>
        <v>9554.8789449880587</v>
      </c>
      <c r="BR6">
        <f>'Raw Counts'!BR6</f>
        <v>6247.8385829451854</v>
      </c>
    </row>
    <row r="7" spans="1:70" x14ac:dyDescent="0.15">
      <c r="A7">
        <f>'Raw Counts'!A7</f>
        <v>97676.309323944122</v>
      </c>
      <c r="B7">
        <f>'Raw Counts'!B7</f>
        <v>134440.31431844851</v>
      </c>
      <c r="C7">
        <f>'Raw Counts'!C7</f>
        <v>14074.290495273266</v>
      </c>
      <c r="D7">
        <f>'Raw Counts'!D7</f>
        <v>9062.7081717327019</v>
      </c>
      <c r="E7">
        <f>'Raw Counts'!E7</f>
        <v>5727.7040784918454</v>
      </c>
      <c r="F7">
        <f>'Raw Counts'!F7</f>
        <v>105291.18057040105</v>
      </c>
      <c r="G7">
        <f>'Raw Counts'!G7</f>
        <v>139239.14155259533</v>
      </c>
      <c r="H7">
        <f>'Raw Counts'!H7</f>
        <v>14440.494480136424</v>
      </c>
      <c r="I7">
        <f>'Raw Counts'!I7</f>
        <v>9127.3558244448232</v>
      </c>
      <c r="J7">
        <f>'Raw Counts'!J7</f>
        <v>6084.1856116929821</v>
      </c>
      <c r="K7">
        <f>'Raw Counts'!K7</f>
        <v>117402.33955543012</v>
      </c>
      <c r="L7">
        <f>'Raw Counts'!L7</f>
        <v>139335.40806222384</v>
      </c>
      <c r="M7">
        <f>'Raw Counts'!M7</f>
        <v>16186.133087693766</v>
      </c>
      <c r="N7">
        <f>'Raw Counts'!N7</f>
        <v>9316.0892007829279</v>
      </c>
      <c r="O7">
        <f>'Raw Counts'!O7</f>
        <v>5979.9504660162374</v>
      </c>
      <c r="P7">
        <f>'Raw Counts'!P7</f>
        <v>78388.130939926821</v>
      </c>
      <c r="Q7">
        <f>'Raw Counts'!Q7</f>
        <v>134657.00365248948</v>
      </c>
      <c r="R7">
        <f>'Raw Counts'!R7</f>
        <v>11634.382355499569</v>
      </c>
      <c r="S7">
        <f>'Raw Counts'!S7</f>
        <v>8553.8823431800192</v>
      </c>
      <c r="T7">
        <f>'Raw Counts'!T7</f>
        <v>5604.7114372032875</v>
      </c>
      <c r="U7">
        <f>'Raw Counts'!U7</f>
        <v>83959.59289499966</v>
      </c>
      <c r="V7">
        <f>'Raw Counts'!V7</f>
        <v>135493.36145760753</v>
      </c>
      <c r="W7">
        <f>'Raw Counts'!W7</f>
        <v>11726.170230546008</v>
      </c>
      <c r="X7">
        <f>'Raw Counts'!X7</f>
        <v>8665.4459634463947</v>
      </c>
      <c r="Y7">
        <f>'Raw Counts'!Y7</f>
        <v>5517.1578927377359</v>
      </c>
      <c r="Z7">
        <f>'Raw Counts'!Z7</f>
        <v>89149.449390346592</v>
      </c>
      <c r="AA7">
        <f>'Raw Counts'!AA7</f>
        <v>138673.34262371465</v>
      </c>
      <c r="AB7">
        <f>'Raw Counts'!AB7</f>
        <v>13872.941180033687</v>
      </c>
      <c r="AC7">
        <f>'Raw Counts'!AC7</f>
        <v>9282.7220814916727</v>
      </c>
      <c r="AD7">
        <f>'Raw Counts'!AD7</f>
        <v>6197.8043427794928</v>
      </c>
      <c r="AE7">
        <f>'Raw Counts'!AE7</f>
        <v>102091.33879520683</v>
      </c>
      <c r="AF7">
        <f>'Raw Counts'!AF7</f>
        <v>138182.51124019924</v>
      </c>
      <c r="AG7">
        <f>'Raw Counts'!AG7</f>
        <v>14932.94957890502</v>
      </c>
      <c r="AH7">
        <f>'Raw Counts'!AH7</f>
        <v>9091.9043132742918</v>
      </c>
      <c r="AI7">
        <f>'Raw Counts'!AI7</f>
        <v>6031.0251978138831</v>
      </c>
      <c r="AJ7">
        <f>'Raw Counts'!AJ7</f>
        <v>94875.939886800086</v>
      </c>
      <c r="AK7">
        <f>'Raw Counts'!AK7</f>
        <v>138482.95699892164</v>
      </c>
      <c r="AL7">
        <f>'Raw Counts'!AL7</f>
        <v>13086.355509714538</v>
      </c>
      <c r="AM7">
        <f>'Raw Counts'!AM7</f>
        <v>9224.3286662301598</v>
      </c>
      <c r="AN7">
        <f>'Raw Counts'!AN7</f>
        <v>5995.5857617307302</v>
      </c>
      <c r="AO7">
        <f>'Raw Counts'!AO7</f>
        <v>92779.384821095504</v>
      </c>
      <c r="AP7">
        <f>'Raw Counts'!AP7</f>
        <v>137465.50253309551</v>
      </c>
      <c r="AQ7">
        <f>'Raw Counts'!AQ7</f>
        <v>13900.062584668824</v>
      </c>
      <c r="AR7">
        <f>'Raw Counts'!AR7</f>
        <v>8985.5486074783821</v>
      </c>
      <c r="AS7">
        <f>'Raw Counts'!AS7</f>
        <v>6028.9408155909523</v>
      </c>
      <c r="AT7">
        <f>'Raw Counts'!AT7</f>
        <v>89644.93390191799</v>
      </c>
      <c r="AU7">
        <f>'Raw Counts'!AU7</f>
        <v>137737.29312068084</v>
      </c>
      <c r="AV7">
        <f>'Raw Counts'!AV7</f>
        <v>13562.052337563911</v>
      </c>
      <c r="AW7">
        <f>'Raw Counts'!AW7</f>
        <v>9257.6965721598335</v>
      </c>
      <c r="AX7">
        <f>'Raw Counts'!AX7</f>
        <v>6064.3813823928158</v>
      </c>
      <c r="AY7">
        <f>'Raw Counts'!AY7</f>
        <v>108922.272595649</v>
      </c>
      <c r="AZ7">
        <f>'Raw Counts'!AZ7</f>
        <v>143541.16151329942</v>
      </c>
      <c r="BA7">
        <f>'Raw Counts'!BA7</f>
        <v>15636.221247298554</v>
      </c>
      <c r="BB7">
        <f>'Raw Counts'!BB7</f>
        <v>9486.0568992978951</v>
      </c>
      <c r="BC7">
        <f>'Raw Counts'!BC7</f>
        <v>6060.2116024593934</v>
      </c>
      <c r="BD7">
        <f>'Raw Counts'!BD7</f>
        <v>93627.627975006078</v>
      </c>
      <c r="BE7">
        <f>'Raw Counts'!BE7</f>
        <v>143610.9573170942</v>
      </c>
      <c r="BF7">
        <f>'Raw Counts'!BF7</f>
        <v>13469.204375658099</v>
      </c>
      <c r="BG7">
        <f>'Raw Counts'!BG7</f>
        <v>8824.9743701355692</v>
      </c>
      <c r="BH7">
        <f>'Raw Counts'!BH7</f>
        <v>5867.3771308131309</v>
      </c>
      <c r="BI7">
        <f>'Raw Counts'!BI7</f>
        <v>94595.953538622925</v>
      </c>
      <c r="BJ7">
        <f>'Raw Counts'!BJ7</f>
        <v>142881.83614246879</v>
      </c>
      <c r="BK7">
        <f>'Raw Counts'!BK7</f>
        <v>14166.103017436515</v>
      </c>
      <c r="BL7">
        <f>'Raw Counts'!BL7</f>
        <v>9176.3641427229049</v>
      </c>
      <c r="BM7">
        <f>'Raw Counts'!BM7</f>
        <v>6108.1606848323827</v>
      </c>
      <c r="BN7">
        <f>'Raw Counts'!BN7</f>
        <v>110979.33941896899</v>
      </c>
      <c r="BO7">
        <f>'Raw Counts'!BO7</f>
        <v>147246.8739542852</v>
      </c>
      <c r="BP7">
        <f>'Raw Counts'!BP7</f>
        <v>14795.224529644833</v>
      </c>
      <c r="BQ7">
        <f>'Raw Counts'!BQ7</f>
        <v>9539.2375252055463</v>
      </c>
      <c r="BR7">
        <f>'Raw Counts'!BR7</f>
        <v>6177.9988652419515</v>
      </c>
    </row>
    <row r="8" spans="1:70" x14ac:dyDescent="0.15">
      <c r="A8">
        <f>'Raw Counts'!A8</f>
        <v>98873.579761545945</v>
      </c>
      <c r="B8">
        <f>'Raw Counts'!B8</f>
        <v>132944.43664538726</v>
      </c>
      <c r="C8">
        <f>'Raw Counts'!C8</f>
        <v>13658.035954455328</v>
      </c>
      <c r="D8">
        <f>'Raw Counts'!D8</f>
        <v>9133.6121055950534</v>
      </c>
      <c r="E8">
        <f>'Raw Counts'!E8</f>
        <v>5674.5457494805678</v>
      </c>
      <c r="F8">
        <f>'Raw Counts'!F8</f>
        <v>109892.29405972488</v>
      </c>
      <c r="G8">
        <f>'Raw Counts'!G8</f>
        <v>140737.07499989032</v>
      </c>
      <c r="H8">
        <f>'Raw Counts'!H8</f>
        <v>14799.401324083306</v>
      </c>
      <c r="I8">
        <f>'Raw Counts'!I8</f>
        <v>9397.4228806140927</v>
      </c>
      <c r="J8">
        <f>'Raw Counts'!J8</f>
        <v>5886.139256525752</v>
      </c>
      <c r="K8">
        <f>'Raw Counts'!K8</f>
        <v>119196.47287643189</v>
      </c>
      <c r="L8">
        <f>'Raw Counts'!L8</f>
        <v>139679.25439380953</v>
      </c>
      <c r="M8">
        <f>'Raw Counts'!M8</f>
        <v>15651.868155832462</v>
      </c>
      <c r="N8">
        <f>'Raw Counts'!N8</f>
        <v>9128.3988713390609</v>
      </c>
      <c r="O8">
        <f>'Raw Counts'!O8</f>
        <v>6066.4657727430595</v>
      </c>
      <c r="P8">
        <f>'Raw Counts'!P8</f>
        <v>79515.600853341239</v>
      </c>
      <c r="Q8">
        <f>'Raw Counts'!Q8</f>
        <v>134469.8487187862</v>
      </c>
      <c r="R8">
        <f>'Raw Counts'!R8</f>
        <v>12234.129296614921</v>
      </c>
      <c r="S8">
        <f>'Raw Counts'!S8</f>
        <v>8851.0417030613899</v>
      </c>
      <c r="T8">
        <f>'Raw Counts'!T8</f>
        <v>5512.988363834861</v>
      </c>
      <c r="U8">
        <f>'Raw Counts'!U8</f>
        <v>84244.509597580807</v>
      </c>
      <c r="V8">
        <f>'Raw Counts'!V8</f>
        <v>136345.53115466607</v>
      </c>
      <c r="W8">
        <f>'Raw Counts'!W8</f>
        <v>11822.124445901831</v>
      </c>
      <c r="X8">
        <f>'Raw Counts'!X8</f>
        <v>8848.9556730526638</v>
      </c>
      <c r="Y8">
        <f>'Raw Counts'!Y8</f>
        <v>5673.504099494442</v>
      </c>
      <c r="Z8">
        <f>'Raw Counts'!Z8</f>
        <v>88658.202865039129</v>
      </c>
      <c r="AA8">
        <f>'Raw Counts'!AA8</f>
        <v>137796.48505496883</v>
      </c>
      <c r="AB8">
        <f>'Raw Counts'!AB8</f>
        <v>13787.391105366165</v>
      </c>
      <c r="AC8">
        <f>'Raw Counts'!AC8</f>
        <v>9380.7386558375583</v>
      </c>
      <c r="AD8">
        <f>'Raw Counts'!AD8</f>
        <v>6001.8398875472494</v>
      </c>
      <c r="AE8">
        <f>'Raw Counts'!AE8</f>
        <v>105650.53159320273</v>
      </c>
      <c r="AF8">
        <f>'Raw Counts'!AF8</f>
        <v>138683.90279686215</v>
      </c>
      <c r="AG8">
        <f>'Raw Counts'!AG8</f>
        <v>15199.020252805003</v>
      </c>
      <c r="AH8">
        <f>'Raw Counts'!AH8</f>
        <v>9292.1066652565096</v>
      </c>
      <c r="AI8">
        <f>'Raw Counts'!AI8</f>
        <v>5987.2462668968101</v>
      </c>
      <c r="AJ8">
        <f>'Raw Counts'!AJ8</f>
        <v>95368.574361438732</v>
      </c>
      <c r="AK8">
        <f>'Raw Counts'!AK8</f>
        <v>136956.76740179816</v>
      </c>
      <c r="AL8">
        <f>'Raw Counts'!AL8</f>
        <v>13126.002637281726</v>
      </c>
      <c r="AM8">
        <f>'Raw Counts'!AM8</f>
        <v>9356.7559497165821</v>
      </c>
      <c r="AN8">
        <f>'Raw Counts'!AN8</f>
        <v>6126.9233075713528</v>
      </c>
      <c r="AO8">
        <f>'Raw Counts'!AO8</f>
        <v>90776.955469580833</v>
      </c>
      <c r="AP8">
        <f>'Raw Counts'!AP8</f>
        <v>136094.99813863914</v>
      </c>
      <c r="AQ8">
        <f>'Raw Counts'!AQ8</f>
        <v>13996.049771777889</v>
      </c>
      <c r="AR8">
        <f>'Raw Counts'!AR8</f>
        <v>9181.5774044918617</v>
      </c>
      <c r="AS8">
        <f>'Raw Counts'!AS8</f>
        <v>5991.4160133573332</v>
      </c>
      <c r="AT8">
        <f>'Raw Counts'!AT8</f>
        <v>89529.207674360892</v>
      </c>
      <c r="AU8">
        <f>'Raw Counts'!AU8</f>
        <v>137852.52991878474</v>
      </c>
      <c r="AV8">
        <f>'Raw Counts'!AV8</f>
        <v>13797.826929457451</v>
      </c>
      <c r="AW8">
        <f>'Raw Counts'!AW8</f>
        <v>9261.8668182501806</v>
      </c>
      <c r="AX8">
        <f>'Raw Counts'!AX8</f>
        <v>5987.2462668968101</v>
      </c>
      <c r="AY8">
        <f>'Raw Counts'!AY8</f>
        <v>108314.03788735175</v>
      </c>
      <c r="AZ8">
        <f>'Raw Counts'!AZ8</f>
        <v>143485.08143192582</v>
      </c>
      <c r="BA8">
        <f>'Raw Counts'!BA8</f>
        <v>14720.102655286461</v>
      </c>
      <c r="BB8">
        <f>'Raw Counts'!BB8</f>
        <v>9276.4656976986207</v>
      </c>
      <c r="BC8">
        <f>'Raw Counts'!BC8</f>
        <v>6120.6690956883194</v>
      </c>
      <c r="BD8">
        <f>'Raw Counts'!BD8</f>
        <v>94307.548750174348</v>
      </c>
      <c r="BE8">
        <f>'Raw Counts'!BE8</f>
        <v>145240.89818748299</v>
      </c>
      <c r="BF8">
        <f>'Raw Counts'!BF8</f>
        <v>13616.303387108595</v>
      </c>
      <c r="BG8">
        <f>'Raw Counts'!BG8</f>
        <v>9029.3419826669742</v>
      </c>
      <c r="BH8">
        <f>'Raw Counts'!BH8</f>
        <v>5926.7906617627523</v>
      </c>
      <c r="BI8">
        <f>'Raw Counts'!BI8</f>
        <v>94031.783260117678</v>
      </c>
      <c r="BJ8">
        <f>'Raw Counts'!BJ8</f>
        <v>143443.7327537977</v>
      </c>
      <c r="BK8">
        <f>'Raw Counts'!BK8</f>
        <v>14144.188915649251</v>
      </c>
      <c r="BL8">
        <f>'Raw Counts'!BL8</f>
        <v>9308.7897263041068</v>
      </c>
      <c r="BM8">
        <f>'Raw Counts'!BM8</f>
        <v>5997.6701363047641</v>
      </c>
      <c r="BN8">
        <f>'Raw Counts'!BN8</f>
        <v>108167.50091765056</v>
      </c>
      <c r="BO8">
        <f>'Raw Counts'!BO8</f>
        <v>145102.19649760131</v>
      </c>
      <c r="BP8">
        <f>'Raw Counts'!BP8</f>
        <v>15227.187359238682</v>
      </c>
      <c r="BQ8">
        <f>'Raw Counts'!BQ8</f>
        <v>9398.4659585028039</v>
      </c>
      <c r="BR8">
        <f>'Raw Counts'!BR8</f>
        <v>6212.3973008156818</v>
      </c>
    </row>
    <row r="9" spans="1:70" x14ac:dyDescent="0.15">
      <c r="A9">
        <f>'Raw Counts'!A9</f>
        <v>98597.675362576279</v>
      </c>
      <c r="B9">
        <f>'Raw Counts'!B9</f>
        <v>133765.81948678102</v>
      </c>
      <c r="C9">
        <f>'Raw Counts'!C9</f>
        <v>14336.159445386573</v>
      </c>
      <c r="D9">
        <f>'Raw Counts'!D9</f>
        <v>9035.5981963483518</v>
      </c>
      <c r="E9">
        <f>'Raw Counts'!E9</f>
        <v>5824.6406552797453</v>
      </c>
      <c r="F9">
        <f>'Raw Counts'!F9</f>
        <v>105593.67386667903</v>
      </c>
      <c r="G9">
        <f>'Raw Counts'!G9</f>
        <v>139303.72530051094</v>
      </c>
      <c r="H9">
        <f>'Raw Counts'!H9</f>
        <v>14289.20556505807</v>
      </c>
      <c r="I9">
        <f>'Raw Counts'!I9</f>
        <v>9260.8247570579224</v>
      </c>
      <c r="J9">
        <f>'Raw Counts'!J9</f>
        <v>5835.0643382111703</v>
      </c>
      <c r="K9">
        <f>'Raw Counts'!K9</f>
        <v>117569.08405115687</v>
      </c>
      <c r="L9">
        <f>'Raw Counts'!L9</f>
        <v>138488.23697295555</v>
      </c>
      <c r="M9">
        <f>'Raw Counts'!M9</f>
        <v>16114.13526768022</v>
      </c>
      <c r="N9">
        <f>'Raw Counts'!N9</f>
        <v>9109.6300515740622</v>
      </c>
      <c r="O9">
        <f>'Raw Counts'!O9</f>
        <v>6181.1259903692808</v>
      </c>
      <c r="P9">
        <f>'Raw Counts'!P9</f>
        <v>77895.368986557252</v>
      </c>
      <c r="Q9">
        <f>'Raw Counts'!Q9</f>
        <v>134368.35633729291</v>
      </c>
      <c r="R9">
        <f>'Raw Counts'!R9</f>
        <v>11481.067531640525</v>
      </c>
      <c r="S9">
        <f>'Raw Counts'!S9</f>
        <v>8740.5178060285307</v>
      </c>
      <c r="T9">
        <f>'Raw Counts'!T9</f>
        <v>5529.6654903137151</v>
      </c>
      <c r="U9">
        <f>'Raw Counts'!U9</f>
        <v>83262.574329001945</v>
      </c>
      <c r="V9">
        <f>'Raw Counts'!V9</f>
        <v>134935.10435184016</v>
      </c>
      <c r="W9">
        <f>'Raw Counts'!W9</f>
        <v>12425.018058455689</v>
      </c>
      <c r="X9">
        <f>'Raw Counts'!X9</f>
        <v>8817.675290081088</v>
      </c>
      <c r="Y9">
        <f>'Raw Counts'!Y9</f>
        <v>5632.8538270292302</v>
      </c>
      <c r="Z9">
        <f>'Raw Counts'!Z9</f>
        <v>88657.152660459964</v>
      </c>
      <c r="AA9">
        <f>'Raw Counts'!AA9</f>
        <v>138813.9767087627</v>
      </c>
      <c r="AB9">
        <f>'Raw Counts'!AB9</f>
        <v>14010.652251991522</v>
      </c>
      <c r="AC9">
        <f>'Raw Counts'!AC9</f>
        <v>9272.2944438889372</v>
      </c>
      <c r="AD9">
        <f>'Raw Counts'!AD9</f>
        <v>6156.1090194744083</v>
      </c>
      <c r="AE9">
        <f>'Raw Counts'!AE9</f>
        <v>105696.86786896602</v>
      </c>
      <c r="AF9">
        <f>'Raw Counts'!AF9</f>
        <v>138388.73028768343</v>
      </c>
      <c r="AG9">
        <f>'Raw Counts'!AG9</f>
        <v>14590.734226991635</v>
      </c>
      <c r="AH9">
        <f>'Raw Counts'!AH9</f>
        <v>9124.2276854846932</v>
      </c>
      <c r="AI9">
        <f>'Raw Counts'!AI9</f>
        <v>6057.0845189312877</v>
      </c>
      <c r="AJ9">
        <f>'Raw Counts'!AJ9</f>
        <v>95634.90117840434</v>
      </c>
      <c r="AK9">
        <f>'Raw Counts'!AK9</f>
        <v>136937.7830278381</v>
      </c>
      <c r="AL9">
        <f>'Raw Counts'!AL9</f>
        <v>14186.965531814551</v>
      </c>
      <c r="AM9">
        <f>'Raw Counts'!AM9</f>
        <v>9251.4402055936444</v>
      </c>
      <c r="AN9">
        <f>'Raw Counts'!AN9</f>
        <v>6038.3220403552868</v>
      </c>
      <c r="AO9">
        <f>'Raw Counts'!AO9</f>
        <v>91803.899233190896</v>
      </c>
      <c r="AP9">
        <f>'Raw Counts'!AP9</f>
        <v>137730.89675986348</v>
      </c>
      <c r="AQ9">
        <f>'Raw Counts'!AQ9</f>
        <v>13145.821258692738</v>
      </c>
      <c r="AR9">
        <f>'Raw Counts'!AR9</f>
        <v>9091.9043132742918</v>
      </c>
      <c r="AS9">
        <f>'Raw Counts'!AS9</f>
        <v>6002.8815751612756</v>
      </c>
      <c r="AT9">
        <f>'Raw Counts'!AT9</f>
        <v>91309.347257626228</v>
      </c>
      <c r="AU9">
        <f>'Raw Counts'!AU9</f>
        <v>137293.11213319754</v>
      </c>
      <c r="AV9">
        <f>'Raw Counts'!AV9</f>
        <v>14455.097674547049</v>
      </c>
      <c r="AW9">
        <f>'Raw Counts'!AW9</f>
        <v>9195.1331003004234</v>
      </c>
      <c r="AX9">
        <f>'Raw Counts'!AX9</f>
        <v>5755.8468491241747</v>
      </c>
      <c r="AY9">
        <f>'Raw Counts'!AY9</f>
        <v>109530.64933763588</v>
      </c>
      <c r="AZ9">
        <f>'Raw Counts'!AZ9</f>
        <v>144475.67746346715</v>
      </c>
      <c r="BA9">
        <f>'Raw Counts'!BA9</f>
        <v>15745.780224848748</v>
      </c>
      <c r="BB9">
        <f>'Raw Counts'!BB9</f>
        <v>9292.1066652565096</v>
      </c>
      <c r="BC9">
        <f>'Raw Counts'!BC9</f>
        <v>6071.677251043915</v>
      </c>
      <c r="BD9">
        <f>'Raw Counts'!BD9</f>
        <v>92394.227112552646</v>
      </c>
      <c r="BE9">
        <f>'Raw Counts'!BE9</f>
        <v>143593.99089317009</v>
      </c>
      <c r="BF9">
        <f>'Raw Counts'!BF9</f>
        <v>13661.160646835424</v>
      </c>
      <c r="BG9">
        <f>'Raw Counts'!BG9</f>
        <v>9114.8432750642587</v>
      </c>
      <c r="BH9">
        <f>'Raw Counts'!BH9</f>
        <v>5945.5529101154179</v>
      </c>
      <c r="BI9">
        <f>'Raw Counts'!BI9</f>
        <v>98696.665158680407</v>
      </c>
      <c r="BJ9">
        <f>'Raw Counts'!BJ9</f>
        <v>144377.22260770737</v>
      </c>
      <c r="BK9">
        <f>'Raw Counts'!BK9</f>
        <v>13565.187011876347</v>
      </c>
      <c r="BL9">
        <f>'Raw Counts'!BL9</f>
        <v>9142.9965353951739</v>
      </c>
      <c r="BM9">
        <f>'Raw Counts'!BM9</f>
        <v>6074.8043395924315</v>
      </c>
      <c r="BN9">
        <f>'Raw Counts'!BN9</f>
        <v>108159.10142557038</v>
      </c>
      <c r="BO9">
        <f>'Raw Counts'!BO9</f>
        <v>145519.22249324521</v>
      </c>
      <c r="BP9">
        <f>'Raw Counts'!BP9</f>
        <v>14912.0853518317</v>
      </c>
      <c r="BQ9">
        <f>'Raw Counts'!BQ9</f>
        <v>9483.9707235346541</v>
      </c>
      <c r="BR9">
        <f>'Raw Counts'!BR9</f>
        <v>6247.8385829451854</v>
      </c>
    </row>
    <row r="10" spans="1:70" x14ac:dyDescent="0.15">
      <c r="A10">
        <f>'Raw Counts'!A10</f>
        <v>99356.948276832336</v>
      </c>
      <c r="B10">
        <f>'Raw Counts'!B10</f>
        <v>134030.09044183849</v>
      </c>
      <c r="C10">
        <f>'Raw Counts'!C10</f>
        <v>13655.942811763191</v>
      </c>
      <c r="D10">
        <f>'Raw Counts'!D10</f>
        <v>9124.2276854846932</v>
      </c>
      <c r="E10">
        <f>'Raw Counts'!E10</f>
        <v>5935.1291004760014</v>
      </c>
      <c r="F10">
        <f>'Raw Counts'!F10</f>
        <v>106353.49252112157</v>
      </c>
      <c r="G10">
        <f>'Raw Counts'!G10</f>
        <v>140819.64626579199</v>
      </c>
      <c r="H10">
        <f>'Raw Counts'!H10</f>
        <v>14941.303296309416</v>
      </c>
      <c r="I10">
        <f>'Raw Counts'!I10</f>
        <v>9301.4912587115778</v>
      </c>
      <c r="J10">
        <f>'Raw Counts'!J10</f>
        <v>6080.0168233434233</v>
      </c>
      <c r="K10">
        <f>'Raw Counts'!K10</f>
        <v>117616.59565082373</v>
      </c>
      <c r="L10">
        <f>'Raw Counts'!L10</f>
        <v>139464.47584279696</v>
      </c>
      <c r="M10">
        <f>'Raw Counts'!M10</f>
        <v>15843.870538984938</v>
      </c>
      <c r="N10">
        <f>'Raw Counts'!N10</f>
        <v>9085.648060834199</v>
      </c>
      <c r="O10">
        <f>'Raw Counts'!O10</f>
        <v>6041.4491174283776</v>
      </c>
      <c r="P10">
        <f>'Raw Counts'!P10</f>
        <v>78585.66081457067</v>
      </c>
      <c r="Q10">
        <f>'Raw Counts'!Q10</f>
        <v>134538.55970666328</v>
      </c>
      <c r="R10">
        <f>'Raw Counts'!R10</f>
        <v>10941.862858964867</v>
      </c>
      <c r="S10">
        <f>'Raw Counts'!S10</f>
        <v>8667.5309503826065</v>
      </c>
      <c r="T10">
        <f>'Raw Counts'!T10</f>
        <v>5712.06924356935</v>
      </c>
      <c r="U10">
        <f>'Raw Counts'!U10</f>
        <v>83208.96516902119</v>
      </c>
      <c r="V10">
        <f>'Raw Counts'!V10</f>
        <v>134738.40304627063</v>
      </c>
      <c r="W10">
        <f>'Raw Counts'!W10</f>
        <v>12202.837260271619</v>
      </c>
      <c r="X10">
        <f>'Raw Counts'!X10</f>
        <v>8899.0045097350703</v>
      </c>
      <c r="Y10">
        <f>'Raw Counts'!Y10</f>
        <v>5585.9498923930487</v>
      </c>
      <c r="Z10">
        <f>'Raw Counts'!Z10</f>
        <v>88456.242683172779</v>
      </c>
      <c r="AA10">
        <f>'Raw Counts'!AA10</f>
        <v>138177.23144440609</v>
      </c>
      <c r="AB10">
        <f>'Raw Counts'!AB10</f>
        <v>14159.843270903597</v>
      </c>
      <c r="AC10">
        <f>'Raw Counts'!AC10</f>
        <v>9241.0126038816088</v>
      </c>
      <c r="AD10">
        <f>'Raw Counts'!AD10</f>
        <v>6185.2958257729442</v>
      </c>
      <c r="AE10">
        <f>'Raw Counts'!AE10</f>
        <v>105681.08518075246</v>
      </c>
      <c r="AF10">
        <f>'Raw Counts'!AF10</f>
        <v>138080.97724531259</v>
      </c>
      <c r="AG10">
        <f>'Raw Counts'!AG10</f>
        <v>14983.031932530599</v>
      </c>
      <c r="AH10">
        <f>'Raw Counts'!AH10</f>
        <v>9248.3120239256332</v>
      </c>
      <c r="AI10">
        <f>'Raw Counts'!AI10</f>
        <v>6133.1775237577513</v>
      </c>
      <c r="AJ10">
        <f>'Raw Counts'!AJ10</f>
        <v>95263.304967707139</v>
      </c>
      <c r="AK10">
        <f>'Raw Counts'!AK10</f>
        <v>137995.28343943908</v>
      </c>
      <c r="AL10">
        <f>'Raw Counts'!AL10</f>
        <v>13702.893420181686</v>
      </c>
      <c r="AM10">
        <f>'Raw Counts'!AM10</f>
        <v>9429.7483404523919</v>
      </c>
      <c r="AN10">
        <f>'Raw Counts'!AN10</f>
        <v>6175.9144493145559</v>
      </c>
      <c r="AO10">
        <f>'Raw Counts'!AO10</f>
        <v>92594.173696596888</v>
      </c>
      <c r="AP10">
        <f>'Raw Counts'!AP10</f>
        <v>137198.99932434055</v>
      </c>
      <c r="AQ10">
        <f>'Raw Counts'!AQ10</f>
        <v>13923.017692016274</v>
      </c>
      <c r="AR10">
        <f>'Raw Counts'!AR10</f>
        <v>9288.9784695915278</v>
      </c>
      <c r="AS10">
        <f>'Raw Counts'!AS10</f>
        <v>5973.6963552610705</v>
      </c>
      <c r="AT10">
        <f>'Raw Counts'!AT10</f>
        <v>89406.130881821344</v>
      </c>
      <c r="AU10">
        <f>'Raw Counts'!AU10</f>
        <v>137498.29566026846</v>
      </c>
      <c r="AV10">
        <f>'Raw Counts'!AV10</f>
        <v>13517.195567046019</v>
      </c>
      <c r="AW10">
        <f>'Raw Counts'!AW10</f>
        <v>9064.7932498047321</v>
      </c>
      <c r="AX10">
        <f>'Raw Counts'!AX10</f>
        <v>5853.8263972248806</v>
      </c>
      <c r="AY10">
        <f>'Raw Counts'!AY10</f>
        <v>110234.92348807174</v>
      </c>
      <c r="AZ10">
        <f>'Raw Counts'!AZ10</f>
        <v>144231.11716844724</v>
      </c>
      <c r="BA10">
        <f>'Raw Counts'!BA10</f>
        <v>15570.478481086493</v>
      </c>
      <c r="BB10">
        <f>'Raw Counts'!BB10</f>
        <v>9541.3227126044931</v>
      </c>
      <c r="BC10">
        <f>'Raw Counts'!BC10</f>
        <v>6214.4827257933621</v>
      </c>
      <c r="BD10">
        <f>'Raw Counts'!BD10</f>
        <v>93485.551464000178</v>
      </c>
      <c r="BE10">
        <f>'Raw Counts'!BE10</f>
        <v>143853.36730083986</v>
      </c>
      <c r="BF10">
        <f>'Raw Counts'!BF10</f>
        <v>13722.71329974841</v>
      </c>
      <c r="BG10">
        <f>'Raw Counts'!BG10</f>
        <v>8979.2924282487056</v>
      </c>
      <c r="BH10">
        <f>'Raw Counts'!BH10</f>
        <v>5819.4293186168807</v>
      </c>
      <c r="BI10">
        <f>'Raw Counts'!BI10</f>
        <v>94918.047719757378</v>
      </c>
      <c r="BJ10">
        <f>'Raw Counts'!BJ10</f>
        <v>144144.34912905635</v>
      </c>
      <c r="BK10">
        <f>'Raw Counts'!BK10</f>
        <v>14506.219055762022</v>
      </c>
      <c r="BL10">
        <f>'Raw Counts'!BL10</f>
        <v>9366.1406099267606</v>
      </c>
      <c r="BM10">
        <f>'Raw Counts'!BM10</f>
        <v>5944.5102284172781</v>
      </c>
      <c r="BN10">
        <f>'Raw Counts'!BN10</f>
        <v>108775.72579210126</v>
      </c>
      <c r="BO10">
        <f>'Raw Counts'!BO10</f>
        <v>146123.65975969838</v>
      </c>
      <c r="BP10">
        <f>'Raw Counts'!BP10</f>
        <v>15143.718019375605</v>
      </c>
      <c r="BQ10">
        <f>'Raw Counts'!BQ10</f>
        <v>9520.4678569993685</v>
      </c>
      <c r="BR10">
        <f>'Raw Counts'!BR10</f>
        <v>6356.2467146050285</v>
      </c>
    </row>
    <row r="11" spans="1:70" x14ac:dyDescent="0.15">
      <c r="A11">
        <f>'Raw Counts'!A11</f>
        <v>99157.914034669215</v>
      </c>
      <c r="B11">
        <f>'Raw Counts'!B11</f>
        <v>135336.84299410565</v>
      </c>
      <c r="C11">
        <f>'Raw Counts'!C11</f>
        <v>13521.37177410979</v>
      </c>
      <c r="D11">
        <f>'Raw Counts'!D11</f>
        <v>8943.8404936292354</v>
      </c>
      <c r="E11">
        <f>'Raw Counts'!E11</f>
        <v>5806.9213223051938</v>
      </c>
      <c r="F11">
        <f>'Raw Counts'!F11</f>
        <v>104431.30492888953</v>
      </c>
      <c r="G11">
        <f>'Raw Counts'!G11</f>
        <v>139764.96413590771</v>
      </c>
      <c r="H11">
        <f>'Raw Counts'!H11</f>
        <v>15069.634989741435</v>
      </c>
      <c r="I11">
        <f>'Raw Counts'!I11</f>
        <v>9385.9530358712709</v>
      </c>
      <c r="J11">
        <f>'Raw Counts'!J11</f>
        <v>5961.1881466605173</v>
      </c>
      <c r="K11">
        <f>'Raw Counts'!K11</f>
        <v>118325.75361233782</v>
      </c>
      <c r="L11">
        <f>'Raw Counts'!L11</f>
        <v>140124.56799724727</v>
      </c>
      <c r="M11">
        <f>'Raw Counts'!M11</f>
        <v>16109.957868890058</v>
      </c>
      <c r="N11">
        <f>'Raw Counts'!N11</f>
        <v>9083.5619769778987</v>
      </c>
      <c r="O11">
        <f>'Raw Counts'!O11</f>
        <v>6087.3127045448746</v>
      </c>
      <c r="P11">
        <f>'Raw Counts'!P11</f>
        <v>79719.460387956307</v>
      </c>
      <c r="Q11">
        <f>'Raw Counts'!Q11</f>
        <v>134758.49926855808</v>
      </c>
      <c r="R11">
        <f>'Raw Counts'!R11</f>
        <v>11107.683862823629</v>
      </c>
      <c r="S11">
        <f>'Raw Counts'!S11</f>
        <v>8828.1024061002936</v>
      </c>
      <c r="T11">
        <f>'Raw Counts'!T11</f>
        <v>5703.7310094830746</v>
      </c>
      <c r="U11">
        <f>'Raw Counts'!U11</f>
        <v>83225.778549925424</v>
      </c>
      <c r="V11">
        <f>'Raw Counts'!V11</f>
        <v>136071.75211208945</v>
      </c>
      <c r="W11">
        <f>'Raw Counts'!W11</f>
        <v>11849.249743784429</v>
      </c>
      <c r="X11">
        <f>'Raw Counts'!X11</f>
        <v>8754.0728440146449</v>
      </c>
      <c r="Y11">
        <f>'Raw Counts'!Y11</f>
        <v>5714.1545537577331</v>
      </c>
      <c r="Z11">
        <f>'Raw Counts'!Z11</f>
        <v>87724.174724227269</v>
      </c>
      <c r="AA11">
        <f>'Raw Counts'!AA11</f>
        <v>138133.87631460541</v>
      </c>
      <c r="AB11">
        <f>'Raw Counts'!AB11</f>
        <v>13095.749029228295</v>
      </c>
      <c r="AC11">
        <f>'Raw Counts'!AC11</f>
        <v>9320.2604746925117</v>
      </c>
      <c r="AD11">
        <f>'Raw Counts'!AD11</f>
        <v>6082.1012172792325</v>
      </c>
      <c r="AE11">
        <f>'Raw Counts'!AE11</f>
        <v>101981.71352577706</v>
      </c>
      <c r="AF11">
        <f>'Raw Counts'!AF11</f>
        <v>137011.7918548946</v>
      </c>
      <c r="AG11">
        <f>'Raw Counts'!AG11</f>
        <v>15693.610072444455</v>
      </c>
      <c r="AH11">
        <f>'Raw Counts'!AH11</f>
        <v>9351.5425874634293</v>
      </c>
      <c r="AI11">
        <f>'Raw Counts'!AI11</f>
        <v>6220.7370022280602</v>
      </c>
      <c r="AJ11">
        <f>'Raw Counts'!AJ11</f>
        <v>98444.98733888859</v>
      </c>
      <c r="AK11">
        <f>'Raw Counts'!AK11</f>
        <v>138180.37901460443</v>
      </c>
      <c r="AL11">
        <f>'Raw Counts'!AL11</f>
        <v>13887.543462426651</v>
      </c>
      <c r="AM11">
        <f>'Raw Counts'!AM11</f>
        <v>9327.5589573574016</v>
      </c>
      <c r="AN11">
        <f>'Raw Counts'!AN11</f>
        <v>6029.9835069744422</v>
      </c>
      <c r="AO11">
        <f>'Raw Counts'!AO11</f>
        <v>93059.315081404988</v>
      </c>
      <c r="AP11">
        <f>'Raw Counts'!AP11</f>
        <v>136779.10770450032</v>
      </c>
      <c r="AQ11">
        <f>'Raw Counts'!AQ11</f>
        <v>13527.631080856778</v>
      </c>
      <c r="AR11">
        <f>'Raw Counts'!AR11</f>
        <v>9093.989398044363</v>
      </c>
      <c r="AS11">
        <f>'Raw Counts'!AS11</f>
        <v>5957.0184140669007</v>
      </c>
      <c r="AT11">
        <f>'Raw Counts'!AT11</f>
        <v>88176.454478740081</v>
      </c>
      <c r="AU11">
        <f>'Raw Counts'!AU11</f>
        <v>137234.93872815446</v>
      </c>
      <c r="AV11">
        <f>'Raw Counts'!AV11</f>
        <v>13063.412530057849</v>
      </c>
      <c r="AW11">
        <f>'Raw Counts'!AW11</f>
        <v>9101.2887000093069</v>
      </c>
      <c r="AX11">
        <f>'Raw Counts'!AX11</f>
        <v>6061.254297430145</v>
      </c>
      <c r="AY11">
        <f>'Raw Counts'!AY11</f>
        <v>106588.53321353847</v>
      </c>
      <c r="AZ11">
        <f>'Raw Counts'!AZ11</f>
        <v>143637.47376785195</v>
      </c>
      <c r="BA11">
        <f>'Raw Counts'!BA11</f>
        <v>14797.317934770943</v>
      </c>
      <c r="BB11">
        <f>'Raw Counts'!BB11</f>
        <v>9467.2873409201402</v>
      </c>
      <c r="BC11">
        <f>'Raw Counts'!BC11</f>
        <v>6091.4824969109804</v>
      </c>
      <c r="BD11">
        <f>'Raw Counts'!BD11</f>
        <v>94749.627666116387</v>
      </c>
      <c r="BE11">
        <f>'Raw Counts'!BE11</f>
        <v>144710.59161916329</v>
      </c>
      <c r="BF11">
        <f>'Raw Counts'!BF11</f>
        <v>13528.672629917914</v>
      </c>
      <c r="BG11">
        <f>'Raw Counts'!BG11</f>
        <v>9204.5175936242194</v>
      </c>
      <c r="BH11">
        <f>'Raw Counts'!BH11</f>
        <v>5796.4976716477686</v>
      </c>
      <c r="BI11">
        <f>'Raw Counts'!BI11</f>
        <v>97548.9068498462</v>
      </c>
      <c r="BJ11">
        <f>'Raw Counts'!BJ11</f>
        <v>144535.92951829906</v>
      </c>
      <c r="BK11">
        <f>'Raw Counts'!BK11</f>
        <v>14490.574119765375</v>
      </c>
      <c r="BL11">
        <f>'Raw Counts'!BL11</f>
        <v>9335.9015176191297</v>
      </c>
      <c r="BM11">
        <f>'Raw Counts'!BM11</f>
        <v>5898.6473618498421</v>
      </c>
      <c r="BN11">
        <f>'Raw Counts'!BN11</f>
        <v>110079.9541865853</v>
      </c>
      <c r="BO11">
        <f>'Raw Counts'!BO11</f>
        <v>146662.48435951112</v>
      </c>
      <c r="BP11">
        <f>'Raw Counts'!BP11</f>
        <v>14851.566342957696</v>
      </c>
      <c r="BQ11">
        <f>'Raw Counts'!BQ11</f>
        <v>9416.1922947090079</v>
      </c>
      <c r="BR11">
        <f>'Raw Counts'!BR11</f>
        <v>6228.0329963840286</v>
      </c>
    </row>
    <row r="12" spans="1:70" x14ac:dyDescent="0.15">
      <c r="A12">
        <f>'Raw Counts'!A12</f>
        <v>98139.619005714718</v>
      </c>
      <c r="B12">
        <f>'Raw Counts'!B12</f>
        <v>133708.68357746321</v>
      </c>
      <c r="C12">
        <f>'Raw Counts'!C12</f>
        <v>13920.934503616934</v>
      </c>
      <c r="D12">
        <f>'Raw Counts'!D12</f>
        <v>9136.7402477850701</v>
      </c>
      <c r="E12">
        <f>'Raw Counts'!E12</f>
        <v>5942.4258660338019</v>
      </c>
      <c r="F12">
        <f>'Raw Counts'!F12</f>
        <v>106224.89556554653</v>
      </c>
      <c r="G12">
        <f>'Raw Counts'!G12</f>
        <v>140012.45049150882</v>
      </c>
      <c r="H12">
        <f>'Raw Counts'!H12</f>
        <v>15249.104072863849</v>
      </c>
      <c r="I12">
        <f>'Raw Counts'!I12</f>
        <v>9451.6460718824346</v>
      </c>
      <c r="J12">
        <f>'Raw Counts'!J12</f>
        <v>5996.6274486280608</v>
      </c>
      <c r="K12">
        <f>'Raw Counts'!K12</f>
        <v>118585.31930074692</v>
      </c>
      <c r="L12">
        <f>'Raw Counts'!L12</f>
        <v>139796.64851133848</v>
      </c>
      <c r="M12">
        <f>'Raw Counts'!M12</f>
        <v>15848.037798000396</v>
      </c>
      <c r="N12">
        <f>'Raw Counts'!N12</f>
        <v>9246.2259027332329</v>
      </c>
      <c r="O12">
        <f>'Raw Counts'!O12</f>
        <v>5984.1192084713066</v>
      </c>
      <c r="P12">
        <f>'Raw Counts'!P12</f>
        <v>80089.371015792349</v>
      </c>
      <c r="Q12">
        <f>'Raw Counts'!Q12</f>
        <v>135517.62104652563</v>
      </c>
      <c r="R12">
        <f>'Raw Counts'!R12</f>
        <v>11759.543318163152</v>
      </c>
      <c r="S12">
        <f>'Raw Counts'!S12</f>
        <v>8907.3466766306592</v>
      </c>
      <c r="T12">
        <f>'Raw Counts'!T12</f>
        <v>5580.737691964453</v>
      </c>
      <c r="U12">
        <f>'Raw Counts'!U12</f>
        <v>82859.948218968231</v>
      </c>
      <c r="V12">
        <f>'Raw Counts'!V12</f>
        <v>134680.24604816252</v>
      </c>
      <c r="W12">
        <f>'Raw Counts'!W12</f>
        <v>12270.638477448034</v>
      </c>
      <c r="X12">
        <f>'Raw Counts'!X12</f>
        <v>8735.304797245215</v>
      </c>
      <c r="Y12">
        <f>'Raw Counts'!Y12</f>
        <v>5568.230024110635</v>
      </c>
      <c r="Z12">
        <f>'Raw Counts'!Z12</f>
        <v>90577.048950325829</v>
      </c>
      <c r="AA12">
        <f>'Raw Counts'!AA12</f>
        <v>139086.82321653259</v>
      </c>
      <c r="AB12">
        <f>'Raw Counts'!AB12</f>
        <v>14061.771133006847</v>
      </c>
      <c r="AC12">
        <f>'Raw Counts'!AC12</f>
        <v>9495.441693022809</v>
      </c>
      <c r="AD12">
        <f>'Raw Counts'!AD12</f>
        <v>6319.763285716921</v>
      </c>
      <c r="AE12">
        <f>'Raw Counts'!AE12</f>
        <v>102274.58989946112</v>
      </c>
      <c r="AF12">
        <f>'Raw Counts'!AF12</f>
        <v>137032.9083389453</v>
      </c>
      <c r="AG12">
        <f>'Raw Counts'!AG12</f>
        <v>15149.978443687498</v>
      </c>
      <c r="AH12">
        <f>'Raw Counts'!AH12</f>
        <v>9113.8012307289391</v>
      </c>
      <c r="AI12">
        <f>'Raw Counts'!AI12</f>
        <v>6118.5836922347407</v>
      </c>
      <c r="AJ12">
        <f>'Raw Counts'!AJ12</f>
        <v>97068.788254854298</v>
      </c>
      <c r="AK12">
        <f>'Raw Counts'!AK12</f>
        <v>138366.59527573947</v>
      </c>
      <c r="AL12">
        <f>'Raw Counts'!AL12</f>
        <v>14339.284370947209</v>
      </c>
      <c r="AM12">
        <f>'Raw Counts'!AM12</f>
        <v>9341.1148709003028</v>
      </c>
      <c r="AN12">
        <f>'Raw Counts'!AN12</f>
        <v>6024.7710519159155</v>
      </c>
      <c r="AO12">
        <f>'Raw Counts'!AO12</f>
        <v>92471.045195748127</v>
      </c>
      <c r="AP12">
        <f>'Raw Counts'!AP12</f>
        <v>137291.99536274187</v>
      </c>
      <c r="AQ12">
        <f>'Raw Counts'!AQ12</f>
        <v>14311.12001655534</v>
      </c>
      <c r="AR12">
        <f>'Raw Counts'!AR12</f>
        <v>9266.0380672740084</v>
      </c>
      <c r="AS12">
        <f>'Raw Counts'!AS12</f>
        <v>5949.7216367945357</v>
      </c>
      <c r="AT12">
        <f>'Raw Counts'!AT12</f>
        <v>89057.935717569533</v>
      </c>
      <c r="AU12">
        <f>'Raw Counts'!AU12</f>
        <v>138554.84614052239</v>
      </c>
      <c r="AV12">
        <f>'Raw Counts'!AV12</f>
        <v>13527.631080856778</v>
      </c>
      <c r="AW12">
        <f>'Raw Counts'!AW12</f>
        <v>9231.6280728746115</v>
      </c>
      <c r="AX12">
        <f>'Raw Counts'!AX12</f>
        <v>6074.8043395924315</v>
      </c>
      <c r="AY12">
        <f>'Raw Counts'!AY12</f>
        <v>107343.17341339208</v>
      </c>
      <c r="AZ12">
        <f>'Raw Counts'!AZ12</f>
        <v>143088.1622338754</v>
      </c>
      <c r="BA12">
        <f>'Raw Counts'!BA12</f>
        <v>15076.937089546504</v>
      </c>
      <c r="BB12">
        <f>'Raw Counts'!BB12</f>
        <v>9325.4738190017397</v>
      </c>
      <c r="BC12">
        <f>'Raw Counts'!BC12</f>
        <v>6205.101319210381</v>
      </c>
      <c r="BD12">
        <f>'Raw Counts'!BD12</f>
        <v>94477.011471183228</v>
      </c>
      <c r="BE12">
        <f>'Raw Counts'!BE12</f>
        <v>144575.14945238642</v>
      </c>
      <c r="BF12">
        <f>'Raw Counts'!BF12</f>
        <v>13906.322152257313</v>
      </c>
      <c r="BG12">
        <f>'Raw Counts'!BG12</f>
        <v>9148.2107790312948</v>
      </c>
      <c r="BH12">
        <f>'Raw Counts'!BH12</f>
        <v>5874.6728413350866</v>
      </c>
      <c r="BI12">
        <f>'Raw Counts'!BI12</f>
        <v>95558.056286653489</v>
      </c>
      <c r="BJ12">
        <f>'Raw Counts'!BJ12</f>
        <v>144432.19056339547</v>
      </c>
      <c r="BK12">
        <f>'Raw Counts'!BK12</f>
        <v>14090.9863436297</v>
      </c>
      <c r="BL12">
        <f>'Raw Counts'!BL12</f>
        <v>9327.5589573574016</v>
      </c>
      <c r="BM12">
        <f>'Raw Counts'!BM12</f>
        <v>6015.3898411375912</v>
      </c>
      <c r="BN12">
        <f>'Raw Counts'!BN12</f>
        <v>109654.03000422116</v>
      </c>
      <c r="BO12">
        <f>'Raw Counts'!BO12</f>
        <v>147200.32467007256</v>
      </c>
      <c r="BP12">
        <f>'Raw Counts'!BP12</f>
        <v>15619.522559652223</v>
      </c>
      <c r="BQ12">
        <f>'Raw Counts'!BQ12</f>
        <v>9481.8855492940038</v>
      </c>
      <c r="BR12">
        <f>'Raw Counts'!BR12</f>
        <v>6304.1274323513744</v>
      </c>
    </row>
    <row r="13" spans="1:70" x14ac:dyDescent="0.15">
      <c r="A13">
        <f>'Raw Counts'!A13</f>
        <v>97994.307807116769</v>
      </c>
      <c r="B13">
        <f>'Raw Counts'!B13</f>
        <v>133995.17862939643</v>
      </c>
      <c r="C13">
        <f>'Raw Counts'!C13</f>
        <v>14479.095841983421</v>
      </c>
      <c r="D13">
        <f>'Raw Counts'!D13</f>
        <v>9092.9463550991186</v>
      </c>
      <c r="E13">
        <f>'Raw Counts'!E13</f>
        <v>5867.3771308131309</v>
      </c>
      <c r="F13">
        <f>'Raw Counts'!F13</f>
        <v>108384.67602978753</v>
      </c>
      <c r="G13">
        <f>'Raw Counts'!G13</f>
        <v>141487.25193846287</v>
      </c>
      <c r="H13">
        <f>'Raw Counts'!H13</f>
        <v>15037.29146596079</v>
      </c>
      <c r="I13">
        <f>'Raw Counts'!I13</f>
        <v>9380.7386558375583</v>
      </c>
      <c r="J13">
        <f>'Raw Counts'!J13</f>
        <v>5969.5266169293827</v>
      </c>
      <c r="K13">
        <f>'Raw Counts'!K13</f>
        <v>119431.84689434814</v>
      </c>
      <c r="L13">
        <f>'Raw Counts'!L13</f>
        <v>140309.707098288</v>
      </c>
      <c r="M13">
        <f>'Raw Counts'!M13</f>
        <v>16048.389043749839</v>
      </c>
      <c r="N13">
        <f>'Raw Counts'!N13</f>
        <v>9179.4922996275036</v>
      </c>
      <c r="O13">
        <f>'Raw Counts'!O13</f>
        <v>6265.558775487616</v>
      </c>
      <c r="P13">
        <f>'Raw Counts'!P13</f>
        <v>78273.607341831885</v>
      </c>
      <c r="Q13">
        <f>'Raw Counts'!Q13</f>
        <v>134834.62172701894</v>
      </c>
      <c r="R13">
        <f>'Raw Counts'!R13</f>
        <v>11514.439719198765</v>
      </c>
      <c r="S13">
        <f>'Raw Counts'!S13</f>
        <v>8873.9800569432591</v>
      </c>
      <c r="T13">
        <f>'Raw Counts'!T13</f>
        <v>5644.318936546596</v>
      </c>
      <c r="U13">
        <f>'Raw Counts'!U13</f>
        <v>84057.363259642385</v>
      </c>
      <c r="V13">
        <f>'Raw Counts'!V13</f>
        <v>134818.7882029606</v>
      </c>
      <c r="W13">
        <f>'Raw Counts'!W13</f>
        <v>12384.332570925342</v>
      </c>
      <c r="X13">
        <f>'Raw Counts'!X13</f>
        <v>8928.2001254036768</v>
      </c>
      <c r="Y13">
        <f>'Raw Counts'!Y13</f>
        <v>5633.8954723568986</v>
      </c>
      <c r="Z13">
        <f>'Raw Counts'!Z13</f>
        <v>89068.448331551815</v>
      </c>
      <c r="AA13">
        <f>'Raw Counts'!AA13</f>
        <v>138812.96129237881</v>
      </c>
      <c r="AB13">
        <f>'Raw Counts'!AB13</f>
        <v>13975.177680304982</v>
      </c>
      <c r="AC13">
        <f>'Raw Counts'!AC13</f>
        <v>9375.525279827445</v>
      </c>
      <c r="AD13">
        <f>'Raw Counts'!AD13</f>
        <v>6127.9650095206134</v>
      </c>
      <c r="AE13">
        <f>'Raw Counts'!AE13</f>
        <v>105404.99375320002</v>
      </c>
      <c r="AF13">
        <f>'Raw Counts'!AF13</f>
        <v>139063.56950930654</v>
      </c>
      <c r="AG13">
        <f>'Raw Counts'!AG13</f>
        <v>15424.399616908411</v>
      </c>
      <c r="AH13">
        <f>'Raw Counts'!AH13</f>
        <v>9144.0395840843303</v>
      </c>
      <c r="AI13">
        <f>'Raw Counts'!AI13</f>
        <v>5976.8234101007447</v>
      </c>
      <c r="AJ13">
        <f>'Raw Counts'!AJ13</f>
        <v>94845.412588060848</v>
      </c>
      <c r="AK13">
        <f>'Raw Counts'!AK13</f>
        <v>137772.21936101731</v>
      </c>
      <c r="AL13">
        <f>'Raw Counts'!AL13</f>
        <v>14581.339162014136</v>
      </c>
      <c r="AM13">
        <f>'Raw Counts'!AM13</f>
        <v>9393.2515712900731</v>
      </c>
      <c r="AN13">
        <f>'Raw Counts'!AN13</f>
        <v>6117.5419913605247</v>
      </c>
      <c r="AO13">
        <f>'Raw Counts'!AO13</f>
        <v>93729.726003336444</v>
      </c>
      <c r="AP13">
        <f>'Raw Counts'!AP13</f>
        <v>136915.55004154623</v>
      </c>
      <c r="AQ13">
        <f>'Raw Counts'!AQ13</f>
        <v>14322.598082167091</v>
      </c>
      <c r="AR13">
        <f>'Raw Counts'!AR13</f>
        <v>9116.9293661004394</v>
      </c>
      <c r="AS13">
        <f>'Raw Counts'!AS13</f>
        <v>5970.5693014972703</v>
      </c>
      <c r="AT13">
        <f>'Raw Counts'!AT13</f>
        <v>90098.349734551593</v>
      </c>
      <c r="AU13">
        <f>'Raw Counts'!AU13</f>
        <v>137920.25125864366</v>
      </c>
      <c r="AV13">
        <f>'Raw Counts'!AV13</f>
        <v>13713.319132139535</v>
      </c>
      <c r="AW13">
        <f>'Raw Counts'!AW13</f>
        <v>9164.8935759449778</v>
      </c>
      <c r="AX13">
        <f>'Raw Counts'!AX13</f>
        <v>5972.6536703345228</v>
      </c>
      <c r="AY13">
        <f>'Raw Counts'!AY13</f>
        <v>107191.39036909744</v>
      </c>
      <c r="AZ13">
        <f>'Raw Counts'!AZ13</f>
        <v>143353.822889136</v>
      </c>
      <c r="BA13">
        <f>'Raw Counts'!BA13</f>
        <v>15085.290939318105</v>
      </c>
      <c r="BB13">
        <f>'Raw Counts'!BB13</f>
        <v>9470.4155979579646</v>
      </c>
      <c r="BC13">
        <f>'Raw Counts'!BC13</f>
        <v>6049.7876613276958</v>
      </c>
      <c r="BD13">
        <f>'Raw Counts'!BD13</f>
        <v>93049.848553119649</v>
      </c>
      <c r="BE13">
        <f>'Raw Counts'!BE13</f>
        <v>145604.9875304958</v>
      </c>
      <c r="BF13">
        <f>'Raw Counts'!BF13</f>
        <v>13813.470672855841</v>
      </c>
      <c r="BG13">
        <f>'Raw Counts'!BG13</f>
        <v>9230.5850141333685</v>
      </c>
      <c r="BH13">
        <f>'Raw Counts'!BH13</f>
        <v>5900.7317141941685</v>
      </c>
      <c r="BI13">
        <f>'Raw Counts'!BI13</f>
        <v>94914.884825584319</v>
      </c>
      <c r="BJ13">
        <f>'Raw Counts'!BJ13</f>
        <v>143571.84315408629</v>
      </c>
      <c r="BK13">
        <f>'Raw Counts'!BK13</f>
        <v>13980.395698678913</v>
      </c>
      <c r="BL13">
        <f>'Raw Counts'!BL13</f>
        <v>9218.0723226335977</v>
      </c>
      <c r="BM13">
        <f>'Raw Counts'!BM13</f>
        <v>6059.1689076082548</v>
      </c>
      <c r="BN13">
        <f>'Raw Counts'!BN13</f>
        <v>110079.9541865853</v>
      </c>
      <c r="BO13">
        <f>'Raw Counts'!BO13</f>
        <v>147212.01278661998</v>
      </c>
      <c r="BP13">
        <f>'Raw Counts'!BP13</f>
        <v>15623.699732988069</v>
      </c>
      <c r="BQ13">
        <f>'Raw Counts'!BQ13</f>
        <v>9687.3100439099362</v>
      </c>
      <c r="BR13">
        <f>'Raw Counts'!BR13</f>
        <v>6298.9158207711107</v>
      </c>
    </row>
    <row r="14" spans="1:70" x14ac:dyDescent="0.15">
      <c r="A14">
        <f>'Raw Counts'!A14</f>
        <v>98349.164382016228</v>
      </c>
      <c r="B14">
        <f>'Raw Counts'!B14</f>
        <v>134831.47531939394</v>
      </c>
      <c r="C14">
        <f>'Raw Counts'!C14</f>
        <v>13323.15928541926</v>
      </c>
      <c r="D14">
        <f>'Raw Counts'!D14</f>
        <v>9042.8964504227606</v>
      </c>
      <c r="E14">
        <f>'Raw Counts'!E14</f>
        <v>5916.3668736399304</v>
      </c>
      <c r="F14">
        <f>'Raw Counts'!F14</f>
        <v>106781.38647826007</v>
      </c>
      <c r="G14">
        <f>'Raw Counts'!G14</f>
        <v>141041.76975485086</v>
      </c>
      <c r="H14">
        <f>'Raw Counts'!H14</f>
        <v>15219.885138696789</v>
      </c>
      <c r="I14">
        <f>'Raw Counts'!I14</f>
        <v>9446.4316541585122</v>
      </c>
      <c r="J14">
        <f>'Raw Counts'!J14</f>
        <v>6051.8730489972831</v>
      </c>
      <c r="K14">
        <f>'Raw Counts'!K14</f>
        <v>119739.98028048719</v>
      </c>
      <c r="L14">
        <f>'Raw Counts'!L14</f>
        <v>140587.98143546909</v>
      </c>
      <c r="M14">
        <f>'Raw Counts'!M14</f>
        <v>15314.834497172094</v>
      </c>
      <c r="N14">
        <f>'Raw Counts'!N14</f>
        <v>8976.164340248708</v>
      </c>
      <c r="O14">
        <f>'Raw Counts'!O14</f>
        <v>6002.8815751612756</v>
      </c>
      <c r="P14">
        <f>'Raw Counts'!P14</f>
        <v>79857.124658488858</v>
      </c>
      <c r="Q14">
        <f>'Raw Counts'!Q14</f>
        <v>134915.00773769355</v>
      </c>
      <c r="R14">
        <f>'Raw Counts'!R14</f>
        <v>11595.793075149168</v>
      </c>
      <c r="S14">
        <f>'Raw Counts'!S14</f>
        <v>8708.19479747074</v>
      </c>
      <c r="T14">
        <f>'Raw Counts'!T14</f>
        <v>5793.3706788452446</v>
      </c>
      <c r="U14">
        <f>'Raw Counts'!U14</f>
        <v>83551.677681807938</v>
      </c>
      <c r="V14">
        <f>'Raw Counts'!V14</f>
        <v>135809.45173789488</v>
      </c>
      <c r="W14">
        <f>'Raw Counts'!W14</f>
        <v>12358.257104427063</v>
      </c>
      <c r="X14">
        <f>'Raw Counts'!X14</f>
        <v>8848.9556730526638</v>
      </c>
      <c r="Y14">
        <f>'Raw Counts'!Y14</f>
        <v>5785.0323701767038</v>
      </c>
      <c r="Z14">
        <f>'Raw Counts'!Z14</f>
        <v>89813.249070248392</v>
      </c>
      <c r="AA14">
        <f>'Raw Counts'!AA14</f>
        <v>138830.93417919634</v>
      </c>
      <c r="AB14">
        <f>'Raw Counts'!AB14</f>
        <v>14217.22277291293</v>
      </c>
      <c r="AC14">
        <f>'Raw Counts'!AC14</f>
        <v>9429.7483404523919</v>
      </c>
      <c r="AD14">
        <f>'Raw Counts'!AD14</f>
        <v>6164.4486692410637</v>
      </c>
      <c r="AE14">
        <f>'Raw Counts'!AE14</f>
        <v>105361.7951591099</v>
      </c>
      <c r="AF14">
        <f>'Raw Counts'!AF14</f>
        <v>139183.08810700293</v>
      </c>
      <c r="AG14">
        <f>'Raw Counts'!AG14</f>
        <v>14922.522467596065</v>
      </c>
      <c r="AH14">
        <f>'Raw Counts'!AH14</f>
        <v>9608.0599736041295</v>
      </c>
      <c r="AI14">
        <f>'Raw Counts'!AI14</f>
        <v>5978.9077803722485</v>
      </c>
      <c r="AJ14">
        <f>'Raw Counts'!AJ14</f>
        <v>94985.408533029273</v>
      </c>
      <c r="AK14">
        <f>'Raw Counts'!AK14</f>
        <v>137625.20516612532</v>
      </c>
      <c r="AL14">
        <f>'Raw Counts'!AL14</f>
        <v>13414.964219030728</v>
      </c>
      <c r="AM14">
        <f>'Raw Counts'!AM14</f>
        <v>9459.987745005561</v>
      </c>
      <c r="AN14">
        <f>'Raw Counts'!AN14</f>
        <v>6209.270164929666</v>
      </c>
      <c r="AO14">
        <f>'Raw Counts'!AO14</f>
        <v>93732.878380348906</v>
      </c>
      <c r="AP14">
        <f>'Raw Counts'!AP14</f>
        <v>137246.51246482675</v>
      </c>
      <c r="AQ14">
        <f>'Raw Counts'!AQ14</f>
        <v>13627.780575149282</v>
      </c>
      <c r="AR14">
        <f>'Raw Counts'!AR14</f>
        <v>9173.2359868949789</v>
      </c>
      <c r="AS14">
        <f>'Raw Counts'!AS14</f>
        <v>6072.7199473300252</v>
      </c>
      <c r="AT14">
        <f>'Raw Counts'!AT14</f>
        <v>89827.984118195876</v>
      </c>
      <c r="AU14">
        <f>'Raw Counts'!AU14</f>
        <v>136869.05383568071</v>
      </c>
      <c r="AV14">
        <f>'Raw Counts'!AV14</f>
        <v>13622.562759243059</v>
      </c>
      <c r="AW14">
        <f>'Raw Counts'!AW14</f>
        <v>9247.2689632696256</v>
      </c>
      <c r="AX14">
        <f>'Raw Counts'!AX14</f>
        <v>6004.9669520691823</v>
      </c>
      <c r="AY14">
        <f>'Raw Counts'!AY14</f>
        <v>109343.00058379526</v>
      </c>
      <c r="AZ14">
        <f>'Raw Counts'!AZ14</f>
        <v>142883.96947534199</v>
      </c>
      <c r="BA14">
        <f>'Raw Counts'!BA14</f>
        <v>15451.52565236392</v>
      </c>
      <c r="BB14">
        <f>'Raw Counts'!BB14</f>
        <v>9368.225757612483</v>
      </c>
      <c r="BC14">
        <f>'Raw Counts'!BC14</f>
        <v>6048.7459683379629</v>
      </c>
      <c r="BD14">
        <f>'Raw Counts'!BD14</f>
        <v>94284.389461463288</v>
      </c>
      <c r="BE14">
        <f>'Raw Counts'!BE14</f>
        <v>144864.02067710759</v>
      </c>
      <c r="BF14">
        <f>'Raw Counts'!BF14</f>
        <v>13354.455179650398</v>
      </c>
      <c r="BG14">
        <f>'Raw Counts'!BG14</f>
        <v>9036.6402317175471</v>
      </c>
      <c r="BH14">
        <f>'Raw Counts'!BH14</f>
        <v>5842.3610234400203</v>
      </c>
      <c r="BI14">
        <f>'Raw Counts'!BI14</f>
        <v>95105.408221330435</v>
      </c>
      <c r="BJ14">
        <f>'Raw Counts'!BJ14</f>
        <v>144392.05681056378</v>
      </c>
      <c r="BK14">
        <f>'Raw Counts'!BK14</f>
        <v>13743.574796234783</v>
      </c>
      <c r="BL14">
        <f>'Raw Counts'!BL14</f>
        <v>9401.5941918525132</v>
      </c>
      <c r="BM14">
        <f>'Raw Counts'!BM14</f>
        <v>5935.1291004760014</v>
      </c>
      <c r="BN14">
        <f>'Raw Counts'!BN14</f>
        <v>111023.67833196394</v>
      </c>
      <c r="BO14">
        <f>'Raw Counts'!BO14</f>
        <v>147006.60904014678</v>
      </c>
      <c r="BP14">
        <f>'Raw Counts'!BP14</f>
        <v>15411.878394475059</v>
      </c>
      <c r="BQ14">
        <f>'Raw Counts'!BQ14</f>
        <v>9629.9581346597552</v>
      </c>
      <c r="BR14">
        <f>'Raw Counts'!BR14</f>
        <v>6191.5500821245032</v>
      </c>
    </row>
    <row r="15" spans="1:70" x14ac:dyDescent="0.15">
      <c r="A15">
        <f>'Raw Counts'!A15</f>
        <v>103563.11561258863</v>
      </c>
      <c r="B15">
        <f>'Raw Counts'!B15</f>
        <v>136542.26736791444</v>
      </c>
      <c r="C15">
        <f>'Raw Counts'!C15</f>
        <v>14467.617578699866</v>
      </c>
      <c r="D15">
        <f>'Raw Counts'!D15</f>
        <v>9134.6551532072044</v>
      </c>
      <c r="E15">
        <f>'Raw Counts'!E15</f>
        <v>6012.2627730298036</v>
      </c>
      <c r="F15">
        <f>'Raw Counts'!F15</f>
        <v>107800.66288459793</v>
      </c>
      <c r="G15">
        <f>'Raw Counts'!G15</f>
        <v>141949.61777340449</v>
      </c>
      <c r="H15">
        <f>'Raw Counts'!H15</f>
        <v>14085.768261753872</v>
      </c>
      <c r="I15">
        <f>'Raw Counts'!I15</f>
        <v>9404.7224262789568</v>
      </c>
      <c r="J15">
        <f>'Raw Counts'!J15</f>
        <v>6004.9669520691823</v>
      </c>
      <c r="K15">
        <f>'Raw Counts'!K15</f>
        <v>119527.90313623425</v>
      </c>
      <c r="L15">
        <f>'Raw Counts'!L15</f>
        <v>139331.2446160565</v>
      </c>
      <c r="M15">
        <f>'Raw Counts'!M15</f>
        <v>15120.759828249113</v>
      </c>
      <c r="N15">
        <f>'Raw Counts'!N15</f>
        <v>9231.6280728746115</v>
      </c>
      <c r="O15">
        <f>'Raw Counts'!O15</f>
        <v>6222.8214284343567</v>
      </c>
      <c r="P15">
        <f>'Raw Counts'!P15</f>
        <v>80666.325312356421</v>
      </c>
      <c r="Q15">
        <f>'Raw Counts'!Q15</f>
        <v>136175.29382470227</v>
      </c>
      <c r="R15">
        <f>'Raw Counts'!R15</f>
        <v>11556.162635519122</v>
      </c>
      <c r="S15">
        <f>'Raw Counts'!S15</f>
        <v>8925.0720549883681</v>
      </c>
      <c r="T15">
        <f>'Raw Counts'!T15</f>
        <v>5544.2573757018472</v>
      </c>
      <c r="U15">
        <f>'Raw Counts'!U15</f>
        <v>83711.472650033247</v>
      </c>
      <c r="V15">
        <f>'Raw Counts'!V15</f>
        <v>135887.71471537242</v>
      </c>
      <c r="W15">
        <f>'Raw Counts'!W15</f>
        <v>12290.455233557526</v>
      </c>
      <c r="X15">
        <f>'Raw Counts'!X15</f>
        <v>8846.8706444964719</v>
      </c>
      <c r="Y15">
        <f>'Raw Counts'!Y15</f>
        <v>5711.0275892830705</v>
      </c>
      <c r="Z15">
        <f>'Raw Counts'!Z15</f>
        <v>87771.509966063764</v>
      </c>
      <c r="AA15">
        <f>'Raw Counts'!AA15</f>
        <v>138659.53318510216</v>
      </c>
      <c r="AB15">
        <f>'Raw Counts'!AB15</f>
        <v>13521.37177410979</v>
      </c>
      <c r="AC15">
        <f>'Raw Counts'!AC15</f>
        <v>9447.4747376719461</v>
      </c>
      <c r="AD15">
        <f>'Raw Counts'!AD15</f>
        <v>6114.4148881086439</v>
      </c>
      <c r="AE15">
        <f>'Raw Counts'!AE15</f>
        <v>108512.19040282711</v>
      </c>
      <c r="AF15">
        <f>'Raw Counts'!AF15</f>
        <v>139169.37943669732</v>
      </c>
      <c r="AG15">
        <f>'Raw Counts'!AG15</f>
        <v>14258.958099985426</v>
      </c>
      <c r="AH15">
        <f>'Raw Counts'!AH15</f>
        <v>9310.8758618569045</v>
      </c>
      <c r="AI15">
        <f>'Raw Counts'!AI15</f>
        <v>6162.363255742971</v>
      </c>
      <c r="AJ15">
        <f>'Raw Counts'!AJ15</f>
        <v>96237.070757741021</v>
      </c>
      <c r="AK15">
        <f>'Raw Counts'!AK15</f>
        <v>137425.29811815862</v>
      </c>
      <c r="AL15">
        <f>'Raw Counts'!AL15</f>
        <v>13981.437299634346</v>
      </c>
      <c r="AM15">
        <f>'Raw Counts'!AM15</f>
        <v>9453.7312391853084</v>
      </c>
      <c r="AN15">
        <f>'Raw Counts'!AN15</f>
        <v>6183.2114081722257</v>
      </c>
      <c r="AO15">
        <f>'Raw Counts'!AO15</f>
        <v>92834.111376236629</v>
      </c>
      <c r="AP15">
        <f>'Raw Counts'!AP15</f>
        <v>136894.43383112803</v>
      </c>
      <c r="AQ15">
        <f>'Raw Counts'!AQ15</f>
        <v>13967.876465766982</v>
      </c>
      <c r="AR15">
        <f>'Raw Counts'!AR15</f>
        <v>9208.6878153138332</v>
      </c>
      <c r="AS15">
        <f>'Raw Counts'!AS15</f>
        <v>6081.0585199169955</v>
      </c>
      <c r="AT15">
        <f>'Raw Counts'!AT15</f>
        <v>90145.697370446665</v>
      </c>
      <c r="AU15">
        <f>'Raw Counts'!AU15</f>
        <v>138615.16035210175</v>
      </c>
      <c r="AV15">
        <f>'Raw Counts'!AV15</f>
        <v>14184.882282907043</v>
      </c>
      <c r="AW15">
        <f>'Raw Counts'!AW15</f>
        <v>9159.6803237460044</v>
      </c>
      <c r="AX15">
        <f>'Raw Counts'!AX15</f>
        <v>5800.6673306039502</v>
      </c>
      <c r="AY15">
        <f>'Raw Counts'!AY15</f>
        <v>107389.61953283023</v>
      </c>
      <c r="AZ15">
        <f>'Raw Counts'!AZ15</f>
        <v>142628.88737880412</v>
      </c>
      <c r="BA15">
        <f>'Raw Counts'!BA15</f>
        <v>15668.566902918612</v>
      </c>
      <c r="BB15">
        <f>'Raw Counts'!BB15</f>
        <v>9348.414371341134</v>
      </c>
      <c r="BC15">
        <f>'Raw Counts'!BC15</f>
        <v>6184.2531165725422</v>
      </c>
      <c r="BD15">
        <f>'Raw Counts'!BD15</f>
        <v>94554.898089162831</v>
      </c>
      <c r="BE15">
        <f>'Raw Counts'!BE15</f>
        <v>145099.04652052722</v>
      </c>
      <c r="BF15">
        <f>'Raw Counts'!BF15</f>
        <v>13889.636658464824</v>
      </c>
      <c r="BG15">
        <f>'Raw Counts'!BG15</f>
        <v>9322.3456118520935</v>
      </c>
      <c r="BH15">
        <f>'Raw Counts'!BH15</f>
        <v>5937.2134611861911</v>
      </c>
      <c r="BI15">
        <f>'Raw Counts'!BI15</f>
        <v>95125.416744890535</v>
      </c>
      <c r="BJ15">
        <f>'Raw Counts'!BJ15</f>
        <v>144685.18970810081</v>
      </c>
      <c r="BK15">
        <f>'Raw Counts'!BK15</f>
        <v>13204.235870257942</v>
      </c>
      <c r="BL15">
        <f>'Raw Counts'!BL15</f>
        <v>9379.6965810157799</v>
      </c>
      <c r="BM15">
        <f>'Raw Counts'!BM15</f>
        <v>6011.2210843405819</v>
      </c>
      <c r="BN15">
        <f>'Raw Counts'!BN15</f>
        <v>110467.93914308594</v>
      </c>
      <c r="BO15">
        <f>'Raw Counts'!BO15</f>
        <v>147839.8392712739</v>
      </c>
      <c r="BP15">
        <f>'Raw Counts'!BP15</f>
        <v>14817.140201470291</v>
      </c>
      <c r="BQ15">
        <f>'Raw Counts'!BQ15</f>
        <v>9466.2442551329023</v>
      </c>
      <c r="BR15">
        <f>'Raw Counts'!BR15</f>
        <v>6181.1259903692808</v>
      </c>
    </row>
    <row r="16" spans="1:70" x14ac:dyDescent="0.15">
      <c r="A16">
        <f>'Raw Counts'!A16</f>
        <v>100495.46121359688</v>
      </c>
      <c r="B16">
        <f>'Raw Counts'!B16</f>
        <v>134956.21599452826</v>
      </c>
      <c r="C16">
        <f>'Raw Counts'!C16</f>
        <v>15202.145475101721</v>
      </c>
      <c r="D16">
        <f>'Raw Counts'!D16</f>
        <v>9086.6901019417164</v>
      </c>
      <c r="E16">
        <f>'Raw Counts'!E16</f>
        <v>5977.8650948478125</v>
      </c>
      <c r="F16">
        <f>'Raw Counts'!F16</f>
        <v>105988.85255779278</v>
      </c>
      <c r="G16">
        <f>'Raw Counts'!G16</f>
        <v>140601.69225341437</v>
      </c>
      <c r="H16">
        <f>'Raw Counts'!H16</f>
        <v>14685.677011833697</v>
      </c>
      <c r="I16">
        <f>'Raw Counts'!I16</f>
        <v>9337.9866583671792</v>
      </c>
      <c r="J16">
        <f>'Raw Counts'!J16</f>
        <v>5969.5266169293827</v>
      </c>
      <c r="K16">
        <f>'Raw Counts'!K16</f>
        <v>122868.01068955832</v>
      </c>
      <c r="L16">
        <f>'Raw Counts'!L16</f>
        <v>141629.04703527759</v>
      </c>
      <c r="M16">
        <f>'Raw Counts'!M16</f>
        <v>15852.215076383274</v>
      </c>
      <c r="N16">
        <f>'Raw Counts'!N16</f>
        <v>9016.8295682236258</v>
      </c>
      <c r="O16">
        <f>'Raw Counts'!O16</f>
        <v>6163.4059624322081</v>
      </c>
      <c r="P16">
        <f>'Raw Counts'!P16</f>
        <v>79839.258248327678</v>
      </c>
      <c r="Q16">
        <f>'Raw Counts'!Q16</f>
        <v>135228.94630277413</v>
      </c>
      <c r="R16">
        <f>'Raw Counts'!R16</f>
        <v>11308.971919390749</v>
      </c>
      <c r="S16">
        <f>'Raw Counts'!S16</f>
        <v>8855.2117625658775</v>
      </c>
      <c r="T16">
        <f>'Raw Counts'!T16</f>
        <v>5607.8383651033591</v>
      </c>
      <c r="U16">
        <f>'Raw Counts'!U16</f>
        <v>85017.298735138611</v>
      </c>
      <c r="V16">
        <f>'Raw Counts'!V16</f>
        <v>136106.57041864056</v>
      </c>
      <c r="W16">
        <f>'Raw Counts'!W16</f>
        <v>12580.431688578443</v>
      </c>
      <c r="X16">
        <f>'Raw Counts'!X16</f>
        <v>8945.9255444313694</v>
      </c>
      <c r="Y16">
        <f>'Raw Counts'!Y16</f>
        <v>5700.604048594284</v>
      </c>
      <c r="Z16">
        <f>'Raw Counts'!Z16</f>
        <v>91255.6905104326</v>
      </c>
      <c r="AA16">
        <f>'Raw Counts'!AA16</f>
        <v>139951.11142908275</v>
      </c>
      <c r="AB16">
        <f>'Raw Counts'!AB16</f>
        <v>13147.904269415812</v>
      </c>
      <c r="AC16">
        <f>'Raw Counts'!AC16</f>
        <v>9488.1420744955813</v>
      </c>
      <c r="AD16">
        <f>'Raw Counts'!AD16</f>
        <v>6112.329486089995</v>
      </c>
      <c r="AE16">
        <f>'Raw Counts'!AE16</f>
        <v>106859.399116656</v>
      </c>
      <c r="AF16">
        <f>'Raw Counts'!AF16</f>
        <v>137889.58876016978</v>
      </c>
      <c r="AG16">
        <f>'Raw Counts'!AG16</f>
        <v>14604.295990368695</v>
      </c>
      <c r="AH16">
        <f>'Raw Counts'!AH16</f>
        <v>9365.0975357480002</v>
      </c>
      <c r="AI16">
        <f>'Raw Counts'!AI16</f>
        <v>6014.3481520900486</v>
      </c>
      <c r="AJ16">
        <f>'Raw Counts'!AJ16</f>
        <v>95112.785096089821</v>
      </c>
      <c r="AK16">
        <f>'Raw Counts'!AK16</f>
        <v>137054.12639414385</v>
      </c>
      <c r="AL16">
        <f>'Raw Counts'!AL16</f>
        <v>14165.06139531436</v>
      </c>
      <c r="AM16">
        <f>'Raw Counts'!AM16</f>
        <v>9430.79042101298</v>
      </c>
      <c r="AN16">
        <f>'Raw Counts'!AN16</f>
        <v>6058.1272135433728</v>
      </c>
      <c r="AO16">
        <f>'Raw Counts'!AO16</f>
        <v>94026.529125839952</v>
      </c>
      <c r="AP16">
        <f>'Raw Counts'!AP16</f>
        <v>136760.12370294367</v>
      </c>
      <c r="AQ16">
        <f>'Raw Counts'!AQ16</f>
        <v>13653.859684586516</v>
      </c>
      <c r="AR16">
        <f>'Raw Counts'!AR16</f>
        <v>9309.8327940206036</v>
      </c>
      <c r="AS16">
        <f>'Raw Counts'!AS16</f>
        <v>6042.4918102468282</v>
      </c>
      <c r="AT16">
        <f>'Raw Counts'!AT16</f>
        <v>90891.637057608488</v>
      </c>
      <c r="AU16">
        <f>'Raw Counts'!AU16</f>
        <v>138574.9508330822</v>
      </c>
      <c r="AV16">
        <f>'Raw Counts'!AV16</f>
        <v>13426.441152790678</v>
      </c>
      <c r="AW16">
        <f>'Raw Counts'!AW16</f>
        <v>9397.4228806140927</v>
      </c>
      <c r="AX16">
        <f>'Raw Counts'!AX16</f>
        <v>5992.4587004362038</v>
      </c>
      <c r="AY16">
        <f>'Raw Counts'!AY16</f>
        <v>109871.13952105117</v>
      </c>
      <c r="AZ16">
        <f>'Raw Counts'!AZ16</f>
        <v>144279.78485193671</v>
      </c>
      <c r="BA16">
        <f>'Raw Counts'!BA16</f>
        <v>14838.004210549952</v>
      </c>
      <c r="BB16">
        <f>'Raw Counts'!BB16</f>
        <v>9292.1066652565096</v>
      </c>
      <c r="BC16">
        <f>'Raw Counts'!BC16</f>
        <v>6155.0673142995693</v>
      </c>
      <c r="BD16">
        <f>'Raw Counts'!BD16</f>
        <v>97440.458471097707</v>
      </c>
      <c r="BE16">
        <f>'Raw Counts'!BE16</f>
        <v>145844.19904804145</v>
      </c>
      <c r="BF16">
        <f>'Raw Counts'!BF16</f>
        <v>13506.76006521857</v>
      </c>
      <c r="BG16">
        <f>'Raw Counts'!BG16</f>
        <v>9036.6402317175471</v>
      </c>
      <c r="BH16">
        <f>'Raw Counts'!BH16</f>
        <v>6004.9669520691823</v>
      </c>
      <c r="BI16">
        <f>'Raw Counts'!BI16</f>
        <v>97667.889222603699</v>
      </c>
      <c r="BJ16">
        <f>'Raw Counts'!BJ16</f>
        <v>144687.32346588807</v>
      </c>
      <c r="BK16">
        <f>'Raw Counts'!BK16</f>
        <v>13579.788799760128</v>
      </c>
      <c r="BL16">
        <f>'Raw Counts'!BL16</f>
        <v>9012.658433573135</v>
      </c>
      <c r="BM16">
        <f>'Raw Counts'!BM16</f>
        <v>5958.0610971999113</v>
      </c>
      <c r="BN16">
        <f>'Raw Counts'!BN16</f>
        <v>110545.98351885575</v>
      </c>
      <c r="BO16">
        <f>'Raw Counts'!BO16</f>
        <v>146118.3753316873</v>
      </c>
      <c r="BP16">
        <f>'Raw Counts'!BP16</f>
        <v>15719.695111206789</v>
      </c>
      <c r="BQ16">
        <f>'Raw Counts'!BQ16</f>
        <v>9579.9052726319314</v>
      </c>
      <c r="BR16">
        <f>'Raw Counts'!BR16</f>
        <v>6320.806010462843</v>
      </c>
    </row>
    <row r="17" spans="1:70" x14ac:dyDescent="0.15">
      <c r="A17">
        <f>'Raw Counts'!A17</f>
        <v>100595.53343316694</v>
      </c>
      <c r="B17">
        <f>'Raw Counts'!B17</f>
        <v>135706.92927572213</v>
      </c>
      <c r="C17">
        <f>'Raw Counts'!C17</f>
        <v>14150.448651398827</v>
      </c>
      <c r="D17">
        <f>'Raw Counts'!D17</f>
        <v>9146.1246808151755</v>
      </c>
      <c r="E17">
        <f>'Raw Counts'!E17</f>
        <v>5832.9800009253377</v>
      </c>
      <c r="F17">
        <f>'Raw Counts'!F17</f>
        <v>109581.25646284326</v>
      </c>
      <c r="G17">
        <f>'Raw Counts'!G17</f>
        <v>141301.07306616445</v>
      </c>
      <c r="H17">
        <f>'Raw Counts'!H17</f>
        <v>15097.811711750228</v>
      </c>
      <c r="I17">
        <f>'Raw Counts'!I17</f>
        <v>9429.7483404523919</v>
      </c>
      <c r="J17">
        <f>'Raw Counts'!J17</f>
        <v>5984.1192084713066</v>
      </c>
      <c r="K17">
        <f>'Raw Counts'!K17</f>
        <v>120005.97033786893</v>
      </c>
      <c r="L17">
        <f>'Raw Counts'!L17</f>
        <v>140359.47085918492</v>
      </c>
      <c r="M17">
        <f>'Raw Counts'!M17</f>
        <v>16236.222348637759</v>
      </c>
      <c r="N17">
        <f>'Raw Counts'!N17</f>
        <v>9355.7128766147925</v>
      </c>
      <c r="O17">
        <f>'Raw Counts'!O17</f>
        <v>6269.7286496258512</v>
      </c>
      <c r="P17">
        <f>'Raw Counts'!P17</f>
        <v>79376.892635197655</v>
      </c>
      <c r="Q17">
        <f>'Raw Counts'!Q17</f>
        <v>136102.40845658709</v>
      </c>
      <c r="R17">
        <f>'Raw Counts'!R17</f>
        <v>11413.272204830902</v>
      </c>
      <c r="S17">
        <f>'Raw Counts'!S17</f>
        <v>8891.7063712058261</v>
      </c>
      <c r="T17">
        <f>'Raw Counts'!T17</f>
        <v>5659.9536549320455</v>
      </c>
      <c r="U17">
        <f>'Raw Counts'!U17</f>
        <v>83566.392467404381</v>
      </c>
      <c r="V17">
        <f>'Raw Counts'!V17</f>
        <v>136260.97041130863</v>
      </c>
      <c r="W17">
        <f>'Raw Counts'!W17</f>
        <v>11979.620522194218</v>
      </c>
      <c r="X17">
        <f>'Raw Counts'!X17</f>
        <v>9001.18907439328</v>
      </c>
      <c r="Y17">
        <f>'Raw Counts'!Y17</f>
        <v>5596.3723009850237</v>
      </c>
      <c r="Z17">
        <f>'Raw Counts'!Z17</f>
        <v>89752.238752976293</v>
      </c>
      <c r="AA17">
        <f>'Raw Counts'!AA17</f>
        <v>139426.39507107419</v>
      </c>
      <c r="AB17">
        <f>'Raw Counts'!AB17</f>
        <v>13593.349054512813</v>
      </c>
      <c r="AC17">
        <f>'Raw Counts'!AC17</f>
        <v>9397.4228806140927</v>
      </c>
      <c r="AD17">
        <f>'Raw Counts'!AD17</f>
        <v>6126.9233075713528</v>
      </c>
      <c r="AE17">
        <f>'Raw Counts'!AE17</f>
        <v>103919.16129199404</v>
      </c>
      <c r="AF17">
        <f>'Raw Counts'!AF17</f>
        <v>138610.89569768202</v>
      </c>
      <c r="AG17">
        <f>'Raw Counts'!AG17</f>
        <v>15145.801488107736</v>
      </c>
      <c r="AH17">
        <f>'Raw Counts'!AH17</f>
        <v>9476.6721152636783</v>
      </c>
      <c r="AI17">
        <f>'Raw Counts'!AI17</f>
        <v>6154.0246085669241</v>
      </c>
      <c r="AJ17">
        <f>'Raw Counts'!AJ17</f>
        <v>98550.293680686504</v>
      </c>
      <c r="AK17">
        <f>'Raw Counts'!AK17</f>
        <v>138628.86818348206</v>
      </c>
      <c r="AL17">
        <f>'Raw Counts'!AL17</f>
        <v>13587.08970250023</v>
      </c>
      <c r="AM17">
        <f>'Raw Counts'!AM17</f>
        <v>9322.3456118520935</v>
      </c>
      <c r="AN17">
        <f>'Raw Counts'!AN17</f>
        <v>6191.5500821245032</v>
      </c>
      <c r="AO17">
        <f>'Raw Counts'!AO17</f>
        <v>93080.369807284835</v>
      </c>
      <c r="AP17">
        <f>'Raw Counts'!AP17</f>
        <v>138267.1914625224</v>
      </c>
      <c r="AQ17">
        <f>'Raw Counts'!AQ17</f>
        <v>13571.446348802614</v>
      </c>
      <c r="AR17">
        <f>'Raw Counts'!AR17</f>
        <v>9158.6372732617419</v>
      </c>
      <c r="AS17">
        <f>'Raw Counts'!AS17</f>
        <v>5979.9504660162374</v>
      </c>
      <c r="AT17">
        <f>'Raw Counts'!AT17</f>
        <v>91004.219143018563</v>
      </c>
      <c r="AU17">
        <f>'Raw Counts'!AU17</f>
        <v>138423.65904042788</v>
      </c>
      <c r="AV17">
        <f>'Raw Counts'!AV17</f>
        <v>13045.677075656893</v>
      </c>
      <c r="AW17">
        <f>'Raw Counts'!AW17</f>
        <v>9037.6832682009626</v>
      </c>
      <c r="AX17">
        <f>'Raw Counts'!AX17</f>
        <v>6020.6022908163441</v>
      </c>
      <c r="AY17">
        <f>'Raw Counts'!AY17</f>
        <v>109539.05010086004</v>
      </c>
      <c r="AZ17">
        <f>'Raw Counts'!AZ17</f>
        <v>145439.86007226308</v>
      </c>
      <c r="BA17">
        <f>'Raw Counts'!BA17</f>
        <v>15411.878394475059</v>
      </c>
      <c r="BB17">
        <f>'Raw Counts'!BB17</f>
        <v>9447.4747376719461</v>
      </c>
      <c r="BC17">
        <f>'Raw Counts'!BC17</f>
        <v>6163.4059624322081</v>
      </c>
      <c r="BD17">
        <f>'Raw Counts'!BD17</f>
        <v>94965.410423573645</v>
      </c>
      <c r="BE17">
        <f>'Raw Counts'!BE17</f>
        <v>145690.75338013747</v>
      </c>
      <c r="BF17">
        <f>'Raw Counts'!BF17</f>
        <v>14281.904098211244</v>
      </c>
      <c r="BG17">
        <f>'Raw Counts'!BG17</f>
        <v>9195.1331003004234</v>
      </c>
      <c r="BH17">
        <f>'Raw Counts'!BH17</f>
        <v>5890.30795595579</v>
      </c>
      <c r="BI17">
        <f>'Raw Counts'!BI17</f>
        <v>96898.225927106934</v>
      </c>
      <c r="BJ17">
        <f>'Raw Counts'!BJ17</f>
        <v>143951.71486144693</v>
      </c>
      <c r="BK17">
        <f>'Raw Counts'!BK17</f>
        <v>13916.758112927611</v>
      </c>
      <c r="BL17">
        <f>'Raw Counts'!BL17</f>
        <v>9147.1677298633367</v>
      </c>
      <c r="BM17">
        <f>'Raw Counts'!BM17</f>
        <v>6080.0168233434233</v>
      </c>
      <c r="BN17">
        <f>'Raw Counts'!BN17</f>
        <v>109675.08282057253</v>
      </c>
      <c r="BO17">
        <f>'Raw Counts'!BO17</f>
        <v>146217.86536893932</v>
      </c>
      <c r="BP17">
        <f>'Raw Counts'!BP17</f>
        <v>15242.843580260638</v>
      </c>
      <c r="BQ17">
        <f>'Raw Counts'!BQ17</f>
        <v>9474.5859416546336</v>
      </c>
      <c r="BR17">
        <f>'Raw Counts'!BR17</f>
        <v>6239.4998573530929</v>
      </c>
    </row>
    <row r="18" spans="1:70" x14ac:dyDescent="0.15">
      <c r="A18">
        <f>'Raw Counts'!A18</f>
        <v>99449.627519580667</v>
      </c>
      <c r="B18">
        <f>'Raw Counts'!B18</f>
        <v>134974.18122922443</v>
      </c>
      <c r="C18">
        <f>'Raw Counts'!C18</f>
        <v>14051.335005802841</v>
      </c>
      <c r="D18">
        <f>'Raw Counts'!D18</f>
        <v>9277.5077606842242</v>
      </c>
      <c r="E18">
        <f>'Raw Counts'!E18</f>
        <v>5892.39330703621</v>
      </c>
      <c r="F18">
        <f>'Raw Counts'!F18</f>
        <v>106030.94121646389</v>
      </c>
      <c r="G18">
        <f>'Raw Counts'!G18</f>
        <v>140070.64174106394</v>
      </c>
      <c r="H18">
        <f>'Raw Counts'!H18</f>
        <v>14561.517409667595</v>
      </c>
      <c r="I18">
        <f>'Raw Counts'!I18</f>
        <v>9405.7645039701783</v>
      </c>
      <c r="J18">
        <f>'Raw Counts'!J18</f>
        <v>6035.194964358031</v>
      </c>
      <c r="K18">
        <f>'Raw Counts'!K18</f>
        <v>119541.58211427066</v>
      </c>
      <c r="L18">
        <f>'Raw Counts'!L18</f>
        <v>140916.94523054897</v>
      </c>
      <c r="M18">
        <f>'Raw Counts'!M18</f>
        <v>15410.836629546026</v>
      </c>
      <c r="N18">
        <f>'Raw Counts'!N18</f>
        <v>9227.4568396434206</v>
      </c>
      <c r="O18">
        <f>'Raw Counts'!O18</f>
        <v>6220.7370022280602</v>
      </c>
      <c r="P18">
        <f>'Raw Counts'!P18</f>
        <v>80490.824899991494</v>
      </c>
      <c r="Q18">
        <f>'Raw Counts'!Q18</f>
        <v>136091.7497819975</v>
      </c>
      <c r="R18">
        <f>'Raw Counts'!R18</f>
        <v>11715.73678515579</v>
      </c>
      <c r="S18">
        <f>'Raw Counts'!S18</f>
        <v>8886.4922747264536</v>
      </c>
      <c r="T18">
        <f>'Raw Counts'!T18</f>
        <v>5792.3290152417658</v>
      </c>
      <c r="U18">
        <f>'Raw Counts'!U18</f>
        <v>82967.172821865577</v>
      </c>
      <c r="V18">
        <f>'Raw Counts'!V18</f>
        <v>135273.40404999294</v>
      </c>
      <c r="W18">
        <f>'Raw Counts'!W18</f>
        <v>12209.095658920472</v>
      </c>
      <c r="X18">
        <f>'Raw Counts'!X18</f>
        <v>8967.8221101876807</v>
      </c>
      <c r="Y18">
        <f>'Raw Counts'!Y18</f>
        <v>5550.5111909835387</v>
      </c>
      <c r="Z18">
        <f>'Raw Counts'!Z18</f>
        <v>89033.739584141818</v>
      </c>
      <c r="AA18">
        <f>'Raw Counts'!AA18</f>
        <v>138295.72298674972</v>
      </c>
      <c r="AB18">
        <f>'Raw Counts'!AB18</f>
        <v>13761.311612720359</v>
      </c>
      <c r="AC18">
        <f>'Raw Counts'!AC18</f>
        <v>9469.3725118115999</v>
      </c>
      <c r="AD18">
        <f>'Raw Counts'!AD18</f>
        <v>6318.7205610906212</v>
      </c>
      <c r="AE18">
        <f>'Raw Counts'!AE18</f>
        <v>104429.18063125099</v>
      </c>
      <c r="AF18">
        <f>'Raw Counts'!AF18</f>
        <v>138144.43585871661</v>
      </c>
      <c r="AG18">
        <f>'Raw Counts'!AG18</f>
        <v>14282.945733726443</v>
      </c>
      <c r="AH18">
        <f>'Raw Counts'!AH18</f>
        <v>9263.9529430326147</v>
      </c>
      <c r="AI18">
        <f>'Raw Counts'!AI18</f>
        <v>5998.7128241010787</v>
      </c>
      <c r="AJ18">
        <f>'Raw Counts'!AJ18</f>
        <v>96522.373473272397</v>
      </c>
      <c r="AK18">
        <f>'Raw Counts'!AK18</f>
        <v>138273.48666654571</v>
      </c>
      <c r="AL18">
        <f>'Raw Counts'!AL18</f>
        <v>13718.537000156113</v>
      </c>
      <c r="AM18">
        <f>'Raw Counts'!AM18</f>
        <v>9609.1020746099548</v>
      </c>
      <c r="AN18">
        <f>'Raw Counts'!AN18</f>
        <v>6154.0246085669241</v>
      </c>
      <c r="AO18">
        <f>'Raw Counts'!AO18</f>
        <v>95109.622133985278</v>
      </c>
      <c r="AP18">
        <f>'Raw Counts'!AP18</f>
        <v>138898.56129327329</v>
      </c>
      <c r="AQ18">
        <f>'Raw Counts'!AQ18</f>
        <v>14102.464131197918</v>
      </c>
      <c r="AR18">
        <f>'Raw Counts'!AR18</f>
        <v>9507.9547663971462</v>
      </c>
      <c r="AS18">
        <f>'Raw Counts'!AS18</f>
        <v>6078.9741262202997</v>
      </c>
      <c r="AT18">
        <f>'Raw Counts'!AT18</f>
        <v>91841.780406331032</v>
      </c>
      <c r="AU18">
        <f>'Raw Counts'!AU18</f>
        <v>138768.48616647974</v>
      </c>
      <c r="AV18">
        <f>'Raw Counts'!AV18</f>
        <v>13581.871909957634</v>
      </c>
      <c r="AW18">
        <f>'Raw Counts'!AW18</f>
        <v>9423.4918554486594</v>
      </c>
      <c r="AX18">
        <f>'Raw Counts'!AX18</f>
        <v>5904.9014209665984</v>
      </c>
      <c r="AY18">
        <f>'Raw Counts'!AY18</f>
        <v>108300.37584597299</v>
      </c>
      <c r="AZ18">
        <f>'Raw Counts'!AZ18</f>
        <v>143852.24972106286</v>
      </c>
      <c r="BA18">
        <f>'Raw Counts'!BA18</f>
        <v>15532.914261687723</v>
      </c>
      <c r="BB18">
        <f>'Raw Counts'!BB18</f>
        <v>9514.2113095447312</v>
      </c>
      <c r="BC18">
        <f>'Raw Counts'!BC18</f>
        <v>6170.7029112479768</v>
      </c>
      <c r="BD18">
        <f>'Raw Counts'!BD18</f>
        <v>94879.102767388526</v>
      </c>
      <c r="BE18">
        <f>'Raw Counts'!BE18</f>
        <v>145412.32218605958</v>
      </c>
      <c r="BF18">
        <f>'Raw Counts'!BF18</f>
        <v>13225.096176552086</v>
      </c>
      <c r="BG18">
        <f>'Raw Counts'!BG18</f>
        <v>9229.5429565276918</v>
      </c>
      <c r="BH18">
        <f>'Raw Counts'!BH18</f>
        <v>6018.5169103212047</v>
      </c>
      <c r="BI18">
        <f>'Raw Counts'!BI18</f>
        <v>96882.438334925173</v>
      </c>
      <c r="BJ18">
        <f>'Raw Counts'!BJ18</f>
        <v>144603.7008584021</v>
      </c>
      <c r="BK18">
        <f>'Raw Counts'!BK18</f>
        <v>13717.495429333847</v>
      </c>
      <c r="BL18">
        <f>'Raw Counts'!BL18</f>
        <v>9396.3798028450019</v>
      </c>
      <c r="BM18">
        <f>'Raw Counts'!BM18</f>
        <v>6007.0513287945168</v>
      </c>
      <c r="BN18">
        <f>'Raw Counts'!BN18</f>
        <v>111923.15722528302</v>
      </c>
      <c r="BO18">
        <f>'Raw Counts'!BO18</f>
        <v>147784.74898184871</v>
      </c>
      <c r="BP18">
        <f>'Raw Counts'!BP18</f>
        <v>15699.870875609897</v>
      </c>
      <c r="BQ18">
        <f>'Raw Counts'!BQ18</f>
        <v>9780.1183746946426</v>
      </c>
      <c r="BR18">
        <f>'Raw Counts'!BR18</f>
        <v>6346.8651617017176</v>
      </c>
    </row>
    <row r="19" spans="1:70" x14ac:dyDescent="0.15">
      <c r="A19">
        <f>'Raw Counts'!A19</f>
        <v>99129.475151175939</v>
      </c>
      <c r="B19">
        <f>'Raw Counts'!B19</f>
        <v>135024.93067229327</v>
      </c>
      <c r="C19">
        <f>'Raw Counts'!C19</f>
        <v>13687.239852066466</v>
      </c>
      <c r="D19">
        <f>'Raw Counts'!D19</f>
        <v>9326.5168886330393</v>
      </c>
      <c r="E19">
        <f>'Raw Counts'!E19</f>
        <v>5861.1230975151911</v>
      </c>
      <c r="F19">
        <f>'Raw Counts'!F19</f>
        <v>107075.42983595196</v>
      </c>
      <c r="G19">
        <f>'Raw Counts'!G19</f>
        <v>141292.54122920829</v>
      </c>
      <c r="H19">
        <f>'Raw Counts'!H19</f>
        <v>14628.294551819959</v>
      </c>
      <c r="I19">
        <f>'Raw Counts'!I19</f>
        <v>9316.0892007829279</v>
      </c>
      <c r="J19">
        <f>'Raw Counts'!J19</f>
        <v>6024.7710519159155</v>
      </c>
      <c r="K19">
        <f>'Raw Counts'!K19</f>
        <v>123527.90815507031</v>
      </c>
      <c r="L19">
        <f>'Raw Counts'!L19</f>
        <v>140888.40544673137</v>
      </c>
      <c r="M19">
        <f>'Raw Counts'!M19</f>
        <v>15699.870875609897</v>
      </c>
      <c r="N19">
        <f>'Raw Counts'!N19</f>
        <v>9358.8410952491104</v>
      </c>
      <c r="O19">
        <f>'Raw Counts'!O19</f>
        <v>6258.2627512097342</v>
      </c>
      <c r="P19">
        <f>'Raw Counts'!P19</f>
        <v>79930.689039902834</v>
      </c>
      <c r="Q19">
        <f>'Raw Counts'!Q19</f>
        <v>136067.4886551807</v>
      </c>
      <c r="R19">
        <f>'Raw Counts'!R19</f>
        <v>11388.240828160244</v>
      </c>
      <c r="S19">
        <f>'Raw Counts'!S19</f>
        <v>8927.1571014847577</v>
      </c>
      <c r="T19">
        <f>'Raw Counts'!T19</f>
        <v>5524.4533221601923</v>
      </c>
      <c r="U19">
        <f>'Raw Counts'!U19</f>
        <v>83366.654915022722</v>
      </c>
      <c r="V19">
        <f>'Raw Counts'!V19</f>
        <v>136093.88151591233</v>
      </c>
      <c r="W19">
        <f>'Raw Counts'!W19</f>
        <v>11460.201215607636</v>
      </c>
      <c r="X19">
        <f>'Raw Counts'!X19</f>
        <v>8636.2511918076816</v>
      </c>
      <c r="Y19">
        <f>'Raw Counts'!Y19</f>
        <v>5760.0164894324744</v>
      </c>
      <c r="Z19">
        <f>'Raw Counts'!Z19</f>
        <v>89158.921946406597</v>
      </c>
      <c r="AA19">
        <f>'Raw Counts'!AA19</f>
        <v>138678.62270874882</v>
      </c>
      <c r="AB19">
        <f>'Raw Counts'!AB19</f>
        <v>14120.191632630085</v>
      </c>
      <c r="AC19">
        <f>'Raw Counts'!AC19</f>
        <v>9348.414371341134</v>
      </c>
      <c r="AD19">
        <f>'Raw Counts'!AD19</f>
        <v>6071.677251043915</v>
      </c>
      <c r="AE19">
        <f>'Raw Counts'!AE19</f>
        <v>105433.42198013107</v>
      </c>
      <c r="AF19">
        <f>'Raw Counts'!AF19</f>
        <v>138950.44970667528</v>
      </c>
      <c r="AG19">
        <f>'Raw Counts'!AG19</f>
        <v>14330.941222727215</v>
      </c>
      <c r="AH19">
        <f>'Raw Counts'!AH19</f>
        <v>9331.7302365309843</v>
      </c>
      <c r="AI19">
        <f>'Raw Counts'!AI19</f>
        <v>6136.3046334647061</v>
      </c>
      <c r="AJ19">
        <f>'Raw Counts'!AJ19</f>
        <v>98476.578102091109</v>
      </c>
      <c r="AK19">
        <f>'Raw Counts'!AK19</f>
        <v>139553.33159955853</v>
      </c>
      <c r="AL19">
        <f>'Raw Counts'!AL19</f>
        <v>13786.349526651959</v>
      </c>
      <c r="AM19">
        <f>'Raw Counts'!AM19</f>
        <v>9370.311906807854</v>
      </c>
      <c r="AN19">
        <f>'Raw Counts'!AN19</f>
        <v>6043.5335025197974</v>
      </c>
      <c r="AO19">
        <f>'Raw Counts'!AO19</f>
        <v>95047.515120800948</v>
      </c>
      <c r="AP19">
        <f>'Raw Counts'!AP19</f>
        <v>138116.92014934157</v>
      </c>
      <c r="AQ19">
        <f>'Raw Counts'!AQ19</f>
        <v>14068.030811984094</v>
      </c>
      <c r="AR19">
        <f>'Raw Counts'!AR19</f>
        <v>9184.7055631907988</v>
      </c>
      <c r="AS19">
        <f>'Raw Counts'!AS19</f>
        <v>5990.3733263980739</v>
      </c>
      <c r="AT19">
        <f>'Raw Counts'!AT19</f>
        <v>92254.271167807441</v>
      </c>
      <c r="AU19">
        <f>'Raw Counts'!AU19</f>
        <v>138319.99008343217</v>
      </c>
      <c r="AV19">
        <f>'Raw Counts'!AV19</f>
        <v>13429.565765539275</v>
      </c>
      <c r="AW19">
        <f>'Raw Counts'!AW19</f>
        <v>9004.3171710060778</v>
      </c>
      <c r="AX19">
        <f>'Raw Counts'!AX19</f>
        <v>6040.4064247296001</v>
      </c>
      <c r="AY19">
        <f>'Raw Counts'!AY19</f>
        <v>109729.9418313823</v>
      </c>
      <c r="AZ19">
        <f>'Raw Counts'!AZ19</f>
        <v>143560.15973557046</v>
      </c>
      <c r="BA19">
        <f>'Raw Counts'!BA19</f>
        <v>15525.611795464385</v>
      </c>
      <c r="BB19">
        <f>'Raw Counts'!BB19</f>
        <v>9588.2470634754027</v>
      </c>
      <c r="BC19">
        <f>'Raw Counts'!BC19</f>
        <v>6108.1606848323827</v>
      </c>
      <c r="BD19">
        <f>'Raw Counts'!BD19</f>
        <v>94640.161866438153</v>
      </c>
      <c r="BE19">
        <f>'Raw Counts'!BE19</f>
        <v>145412.32218605958</v>
      </c>
      <c r="BF19">
        <f>'Raw Counts'!BF19</f>
        <v>14125.409734272238</v>
      </c>
      <c r="BG19">
        <f>'Raw Counts'!BG19</f>
        <v>9306.704592254504</v>
      </c>
      <c r="BH19">
        <f>'Raw Counts'!BH19</f>
        <v>5862.1647690026502</v>
      </c>
      <c r="BI19">
        <f>'Raw Counts'!BI19</f>
        <v>98011.148623928311</v>
      </c>
      <c r="BJ19">
        <f>'Raw Counts'!BJ19</f>
        <v>145247.19824142463</v>
      </c>
      <c r="BK19">
        <f>'Raw Counts'!BK19</f>
        <v>13980.395698678913</v>
      </c>
      <c r="BL19">
        <f>'Raw Counts'!BL19</f>
        <v>9485.013811356368</v>
      </c>
      <c r="BM19">
        <f>'Raw Counts'!BM19</f>
        <v>6124.8379026828406</v>
      </c>
      <c r="BN19">
        <f>'Raw Counts'!BN19</f>
        <v>110260.22898165754</v>
      </c>
      <c r="BO19">
        <f>'Raw Counts'!BO19</f>
        <v>147237.42178769017</v>
      </c>
      <c r="BP19">
        <f>'Raw Counts'!BP19</f>
        <v>15580.916353085619</v>
      </c>
      <c r="BQ19">
        <f>'Raw Counts'!BQ19</f>
        <v>9656.0267754308134</v>
      </c>
      <c r="BR19">
        <f>'Raw Counts'!BR19</f>
        <v>6324.9749092506781</v>
      </c>
    </row>
    <row r="20" spans="1:70" x14ac:dyDescent="0.15">
      <c r="A20">
        <f>'Raw Counts'!A20</f>
        <v>101249.66510659379</v>
      </c>
      <c r="B20">
        <f>'Raw Counts'!B20</f>
        <v>135843.35546093318</v>
      </c>
      <c r="C20">
        <f>'Raw Counts'!C20</f>
        <v>14057.594677591409</v>
      </c>
      <c r="D20">
        <f>'Raw Counts'!D20</f>
        <v>9023.0857732920376</v>
      </c>
      <c r="E20">
        <f>'Raw Counts'!E20</f>
        <v>5872.5884949664469</v>
      </c>
      <c r="F20">
        <f>'Raw Counts'!F20</f>
        <v>110348.79876561931</v>
      </c>
      <c r="G20">
        <f>'Raw Counts'!G20</f>
        <v>141378.26624209216</v>
      </c>
      <c r="H20">
        <f>'Raw Counts'!H20</f>
        <v>15241.801834709999</v>
      </c>
      <c r="I20">
        <f>'Raw Counts'!I20</f>
        <v>9469.3725118115999</v>
      </c>
      <c r="J20">
        <f>'Raw Counts'!J20</f>
        <v>6222.8214284343567</v>
      </c>
      <c r="K20">
        <f>'Raw Counts'!K20</f>
        <v>121187.26319166058</v>
      </c>
      <c r="L20">
        <f>'Raw Counts'!L20</f>
        <v>141215.34878403452</v>
      </c>
      <c r="M20">
        <f>'Raw Counts'!M20</f>
        <v>15644.565594015326</v>
      </c>
      <c r="N20">
        <f>'Raw Counts'!N20</f>
        <v>9323.3886811243719</v>
      </c>
      <c r="O20">
        <f>'Raw Counts'!O20</f>
        <v>6250.9657321004906</v>
      </c>
      <c r="P20">
        <f>'Raw Counts'!P20</f>
        <v>80668.433961122268</v>
      </c>
      <c r="Q20">
        <f>'Raw Counts'!Q20</f>
        <v>136674.44239423011</v>
      </c>
      <c r="R20">
        <f>'Raw Counts'!R20</f>
        <v>11538.430122360545</v>
      </c>
      <c r="S20">
        <f>'Raw Counts'!S20</f>
        <v>8721.7497872500389</v>
      </c>
      <c r="T20">
        <f>'Raw Counts'!T20</f>
        <v>5702.6883555247723</v>
      </c>
      <c r="U20">
        <f>'Raw Counts'!U20</f>
        <v>85535.68433583311</v>
      </c>
      <c r="V20">
        <f>'Raw Counts'!V20</f>
        <v>135887.71471537242</v>
      </c>
      <c r="W20">
        <f>'Raw Counts'!W20</f>
        <v>12586.690347266394</v>
      </c>
      <c r="X20">
        <f>'Raw Counts'!X20</f>
        <v>8764.4988861008496</v>
      </c>
      <c r="Y20">
        <f>'Raw Counts'!Y20</f>
        <v>5794.4133432057843</v>
      </c>
      <c r="Z20">
        <f>'Raw Counts'!Z20</f>
        <v>88913.820217951899</v>
      </c>
      <c r="AA20">
        <f>'Raw Counts'!AA20</f>
        <v>139897.18620579885</v>
      </c>
      <c r="AB20">
        <f>'Raw Counts'!AB20</f>
        <v>14277.737557344719</v>
      </c>
      <c r="AC20">
        <f>'Raw Counts'!AC20</f>
        <v>9521.5099479619039</v>
      </c>
      <c r="AD20">
        <f>'Raw Counts'!AD20</f>
        <v>6082.1012172792325</v>
      </c>
      <c r="AE20">
        <f>'Raw Counts'!AE20</f>
        <v>106475.71696774915</v>
      </c>
      <c r="AF20">
        <f>'Raw Counts'!AF20</f>
        <v>137479.20862443658</v>
      </c>
      <c r="AG20">
        <f>'Raw Counts'!AG20</f>
        <v>14872.44044745575</v>
      </c>
      <c r="AH20">
        <f>'Raw Counts'!AH20</f>
        <v>9425.5770162922072</v>
      </c>
      <c r="AI20">
        <f>'Raw Counts'!AI20</f>
        <v>6060.2116024593934</v>
      </c>
      <c r="AJ20">
        <f>'Raw Counts'!AJ20</f>
        <v>98563.981472038038</v>
      </c>
      <c r="AK20">
        <f>'Raw Counts'!AK20</f>
        <v>139141.86061301988</v>
      </c>
      <c r="AL20">
        <f>'Raw Counts'!AL20</f>
        <v>13459.820484928563</v>
      </c>
      <c r="AM20">
        <f>'Raw Counts'!AM20</f>
        <v>9487.098986314837</v>
      </c>
      <c r="AN20">
        <f>'Raw Counts'!AN20</f>
        <v>6129.0077122638249</v>
      </c>
      <c r="AO20">
        <f>'Raw Counts'!AO20</f>
        <v>93069.842438233944</v>
      </c>
      <c r="AP20">
        <f>'Raw Counts'!AP20</f>
        <v>137726.73405128176</v>
      </c>
      <c r="AQ20">
        <f>'Raw Counts'!AQ20</f>
        <v>14345.544241087935</v>
      </c>
      <c r="AR20">
        <f>'Raw Counts'!AR20</f>
        <v>9318.1743369856049</v>
      </c>
      <c r="AS20">
        <f>'Raw Counts'!AS20</f>
        <v>6074.8043395924315</v>
      </c>
      <c r="AT20">
        <f>'Raw Counts'!AT20</f>
        <v>89379.833242677385</v>
      </c>
      <c r="AU20">
        <f>'Raw Counts'!AU20</f>
        <v>136883.87574438209</v>
      </c>
      <c r="AV20">
        <f>'Raw Counts'!AV20</f>
        <v>14157.750012624971</v>
      </c>
      <c r="AW20">
        <f>'Raw Counts'!AW20</f>
        <v>9089.818227982094</v>
      </c>
      <c r="AX20">
        <f>'Raw Counts'!AX20</f>
        <v>6088.355402624572</v>
      </c>
      <c r="AY20">
        <f>'Raw Counts'!AY20</f>
        <v>112074.00710879781</v>
      </c>
      <c r="AZ20">
        <f>'Raw Counts'!AZ20</f>
        <v>144401.50600724432</v>
      </c>
      <c r="BA20">
        <f>'Raw Counts'!BA20</f>
        <v>15914.824394937106</v>
      </c>
      <c r="BB20">
        <f>'Raw Counts'!BB20</f>
        <v>9701.9096067624905</v>
      </c>
      <c r="BC20">
        <f>'Raw Counts'!BC20</f>
        <v>6088.355402624572</v>
      </c>
      <c r="BD20">
        <f>'Raw Counts'!BD20</f>
        <v>94086.517374605304</v>
      </c>
      <c r="BE20">
        <f>'Raw Counts'!BE20</f>
        <v>145766.96779080655</v>
      </c>
      <c r="BF20">
        <f>'Raw Counts'!BF20</f>
        <v>14297.558690703139</v>
      </c>
      <c r="BG20">
        <f>'Raw Counts'!BG20</f>
        <v>9291.063599574305</v>
      </c>
      <c r="BH20">
        <f>'Raw Counts'!BH20</f>
        <v>5872.5884949664469</v>
      </c>
      <c r="BI20">
        <f>'Raw Counts'!BI20</f>
        <v>98049.055739008036</v>
      </c>
      <c r="BJ20">
        <f>'Raw Counts'!BJ20</f>
        <v>144840.75212955373</v>
      </c>
      <c r="BK20">
        <f>'Raw Counts'!BK20</f>
        <v>13597.525296573407</v>
      </c>
      <c r="BL20">
        <f>'Raw Counts'!BL20</f>
        <v>9370.311906807854</v>
      </c>
      <c r="BM20">
        <f>'Raw Counts'!BM20</f>
        <v>6020.6022908163441</v>
      </c>
      <c r="BN20">
        <f>'Raw Counts'!BN20</f>
        <v>111271.4943330704</v>
      </c>
      <c r="BO20">
        <f>'Raw Counts'!BO20</f>
        <v>147304.09534554699</v>
      </c>
      <c r="BP20">
        <f>'Raw Counts'!BP20</f>
        <v>15224.062128329606</v>
      </c>
      <c r="BQ20">
        <f>'Raw Counts'!BQ20</f>
        <v>9749.8769039083345</v>
      </c>
      <c r="BR20">
        <f>'Raw Counts'!BR20</f>
        <v>6353.1195292280081</v>
      </c>
    </row>
    <row r="21" spans="1:70" x14ac:dyDescent="0.15">
      <c r="A21">
        <f>'Raw Counts'!A21</f>
        <v>102594.8836995583</v>
      </c>
      <c r="B21">
        <f>'Raw Counts'!B21</f>
        <v>135758.6978986974</v>
      </c>
      <c r="C21">
        <f>'Raw Counts'!C21</f>
        <v>14299.641965441528</v>
      </c>
      <c r="D21">
        <f>'Raw Counts'!D21</f>
        <v>9275.4226338114913</v>
      </c>
      <c r="E21">
        <f>'Raw Counts'!E21</f>
        <v>5947.6372732159844</v>
      </c>
      <c r="F21">
        <f>'Raw Counts'!F21</f>
        <v>108452.17746252147</v>
      </c>
      <c r="G21">
        <f>'Raw Counts'!G21</f>
        <v>140814.36493227334</v>
      </c>
      <c r="H21">
        <f>'Raw Counts'!H21</f>
        <v>14713.842527121813</v>
      </c>
      <c r="I21">
        <f>'Raw Counts'!I21</f>
        <v>9468.3294257849539</v>
      </c>
      <c r="J21">
        <f>'Raw Counts'!J21</f>
        <v>6075.8470362372718</v>
      </c>
      <c r="K21">
        <f>'Raw Counts'!K21</f>
        <v>119559.51680565046</v>
      </c>
      <c r="L21">
        <f>'Raw Counts'!L21</f>
        <v>140922.22662389313</v>
      </c>
      <c r="M21">
        <f>'Raw Counts'!M21</f>
        <v>16291.531231334435</v>
      </c>
      <c r="N21">
        <f>'Raw Counts'!N21</f>
        <v>9246.2259027332329</v>
      </c>
      <c r="O21">
        <f>'Raw Counts'!O21</f>
        <v>6241.584287862177</v>
      </c>
      <c r="P21">
        <f>'Raw Counts'!P21</f>
        <v>80215.479213161714</v>
      </c>
      <c r="Q21">
        <f>'Raw Counts'!Q21</f>
        <v>136054.7998072053</v>
      </c>
      <c r="R21">
        <f>'Raw Counts'!R21</f>
        <v>11496.707287449362</v>
      </c>
      <c r="S21">
        <f>'Raw Counts'!S21</f>
        <v>8958.4378612610089</v>
      </c>
      <c r="T21">
        <f>'Raw Counts'!T21</f>
        <v>5646.4032305703813</v>
      </c>
      <c r="U21">
        <f>'Raw Counts'!U21</f>
        <v>84768.109892882101</v>
      </c>
      <c r="V21">
        <f>'Raw Counts'!V21</f>
        <v>136268.38086505741</v>
      </c>
      <c r="W21">
        <f>'Raw Counts'!W21</f>
        <v>13364.890506582962</v>
      </c>
      <c r="X21">
        <f>'Raw Counts'!X21</f>
        <v>8796.8220948987</v>
      </c>
      <c r="Y21">
        <f>'Raw Counts'!Y21</f>
        <v>5838.1913453573952</v>
      </c>
      <c r="Z21">
        <f>'Raw Counts'!Z21</f>
        <v>90481.309105599023</v>
      </c>
      <c r="AA21">
        <f>'Raw Counts'!AA21</f>
        <v>140276.9037891184</v>
      </c>
      <c r="AB21">
        <f>'Raw Counts'!AB21</f>
        <v>13758.186885903491</v>
      </c>
      <c r="AC21">
        <f>'Raw Counts'!AC21</f>
        <v>9429.7483404523919</v>
      </c>
      <c r="AD21">
        <f>'Raw Counts'!AD21</f>
        <v>6114.4148881086439</v>
      </c>
      <c r="AE21">
        <f>'Raw Counts'!AE21</f>
        <v>106332.44741848634</v>
      </c>
      <c r="AF21">
        <f>'Raw Counts'!AF21</f>
        <v>139132.31535792042</v>
      </c>
      <c r="AG21">
        <f>'Raw Counts'!AG21</f>
        <v>14418.579716645068</v>
      </c>
      <c r="AH21">
        <f>'Raw Counts'!AH21</f>
        <v>9302.5333245665515</v>
      </c>
      <c r="AI21">
        <f>'Raw Counts'!AI21</f>
        <v>6046.6605813858287</v>
      </c>
      <c r="AJ21">
        <f>'Raw Counts'!AJ21</f>
        <v>97528.903085435159</v>
      </c>
      <c r="AK21">
        <f>'Raw Counts'!AK21</f>
        <v>138000.66466168137</v>
      </c>
      <c r="AL21">
        <f>'Raw Counts'!AL21</f>
        <v>14403.976580918177</v>
      </c>
      <c r="AM21">
        <f>'Raw Counts'!AM21</f>
        <v>9542.3658070084693</v>
      </c>
      <c r="AN21">
        <f>'Raw Counts'!AN21</f>
        <v>6140.4734476304648</v>
      </c>
      <c r="AO21">
        <f>'Raw Counts'!AO21</f>
        <v>93856.024016934069</v>
      </c>
      <c r="AP21">
        <f>'Raw Counts'!AP21</f>
        <v>139377.7534648955</v>
      </c>
      <c r="AQ21">
        <f>'Raw Counts'!AQ21</f>
        <v>13537.015041608736</v>
      </c>
      <c r="AR21">
        <f>'Raw Counts'!AR21</f>
        <v>9433.9186654886416</v>
      </c>
      <c r="AS21">
        <f>'Raw Counts'!AS21</f>
        <v>6108.1606848323827</v>
      </c>
      <c r="AT21">
        <f>'Raw Counts'!AT21</f>
        <v>89704.893171348522</v>
      </c>
      <c r="AU21">
        <f>'Raw Counts'!AU21</f>
        <v>138801.28401215019</v>
      </c>
      <c r="AV21">
        <f>'Raw Counts'!AV21</f>
        <v>14073.248883674894</v>
      </c>
      <c r="AW21">
        <f>'Raw Counts'!AW21</f>
        <v>9162.8084749082464</v>
      </c>
      <c r="AX21">
        <f>'Raw Counts'!AX21</f>
        <v>5991.4160133573332</v>
      </c>
      <c r="AY21">
        <f>'Raw Counts'!AY21</f>
        <v>110535.45609302913</v>
      </c>
      <c r="AZ21">
        <f>'Raw Counts'!AZ21</f>
        <v>145742.57910959428</v>
      </c>
      <c r="BA21">
        <f>'Raw Counts'!BA21</f>
        <v>14547.955710132761</v>
      </c>
      <c r="BB21">
        <f>'Raw Counts'!BB21</f>
        <v>9602.8454661390952</v>
      </c>
      <c r="BC21">
        <f>'Raw Counts'!BC21</f>
        <v>6201.9741858344569</v>
      </c>
      <c r="BD21">
        <f>'Raw Counts'!BD21</f>
        <v>91523.997624027805</v>
      </c>
      <c r="BE21">
        <f>'Raw Counts'!BE21</f>
        <v>144990.01734430832</v>
      </c>
      <c r="BF21">
        <f>'Raw Counts'!BF21</f>
        <v>13556.834559396941</v>
      </c>
      <c r="BG21">
        <f>'Raw Counts'!BG21</f>
        <v>9183.6625098345849</v>
      </c>
      <c r="BH21">
        <f>'Raw Counts'!BH21</f>
        <v>5960.1454631688466</v>
      </c>
      <c r="BI21">
        <f>'Raw Counts'!BI21</f>
        <v>95975.981513626757</v>
      </c>
      <c r="BJ21">
        <f>'Raw Counts'!BJ21</f>
        <v>144973.04833615915</v>
      </c>
      <c r="BK21">
        <f>'Raw Counts'!BK21</f>
        <v>14363.282232540241</v>
      </c>
      <c r="BL21">
        <f>'Raw Counts'!BL21</f>
        <v>9318.1743369856049</v>
      </c>
      <c r="BM21">
        <f>'Raw Counts'!BM21</f>
        <v>6043.5335025197974</v>
      </c>
      <c r="BN21">
        <f>'Raw Counts'!BN21</f>
        <v>110822.23159201856</v>
      </c>
      <c r="BO21">
        <f>'Raw Counts'!BO21</f>
        <v>146777.93642702367</v>
      </c>
      <c r="BP21">
        <f>'Raw Counts'!BP21</f>
        <v>15014.333543713688</v>
      </c>
      <c r="BQ21">
        <f>'Raw Counts'!BQ21</f>
        <v>9627.8719258651799</v>
      </c>
      <c r="BR21">
        <f>'Raw Counts'!BR21</f>
        <v>6438.596650313395</v>
      </c>
    </row>
    <row r="22" spans="1:70" x14ac:dyDescent="0.15">
      <c r="A22">
        <f>'Raw Counts'!A22</f>
        <v>100461.75015789519</v>
      </c>
      <c r="B22">
        <f>'Raw Counts'!B22</f>
        <v>135812.59848528844</v>
      </c>
      <c r="C22">
        <f>'Raw Counts'!C22</f>
        <v>14531.25902218143</v>
      </c>
      <c r="D22">
        <f>'Raw Counts'!D22</f>
        <v>9291.063599574305</v>
      </c>
      <c r="E22">
        <f>'Raw Counts'!E22</f>
        <v>5988.2889534973492</v>
      </c>
      <c r="F22">
        <f>'Raw Counts'!F22</f>
        <v>107531.89387655155</v>
      </c>
      <c r="G22">
        <f>'Raw Counts'!G22</f>
        <v>140421.82828438206</v>
      </c>
      <c r="H22">
        <f>'Raw Counts'!H22</f>
        <v>15180.238891448827</v>
      </c>
      <c r="I22">
        <f>'Raw Counts'!I22</f>
        <v>9597.6319627223638</v>
      </c>
      <c r="J22">
        <f>'Raw Counts'!J22</f>
        <v>6080.0168233434233</v>
      </c>
      <c r="K22">
        <f>'Raw Counts'!K22</f>
        <v>120569.69241021319</v>
      </c>
      <c r="L22">
        <f>'Raw Counts'!L22</f>
        <v>141252.31982040696</v>
      </c>
      <c r="M22">
        <f>'Raw Counts'!M22</f>
        <v>15848.037798000396</v>
      </c>
      <c r="N22">
        <f>'Raw Counts'!N22</f>
        <v>9131.5270117348482</v>
      </c>
      <c r="O22">
        <f>'Raw Counts'!O22</f>
        <v>6419.8333841940421</v>
      </c>
      <c r="P22">
        <f>'Raw Counts'!P22</f>
        <v>80101.981756634268</v>
      </c>
      <c r="Q22">
        <f>'Raw Counts'!Q22</f>
        <v>136084.44098381541</v>
      </c>
      <c r="R22">
        <f>'Raw Counts'!R22</f>
        <v>11246.39432516425</v>
      </c>
      <c r="S22">
        <f>'Raw Counts'!S22</f>
        <v>8907.3466766306592</v>
      </c>
      <c r="T22">
        <f>'Raw Counts'!T22</f>
        <v>5695.3927830458033</v>
      </c>
      <c r="U22">
        <f>'Raw Counts'!U22</f>
        <v>84256.07642169598</v>
      </c>
      <c r="V22">
        <f>'Raw Counts'!V22</f>
        <v>136593.02559841092</v>
      </c>
      <c r="W22">
        <f>'Raw Counts'!W22</f>
        <v>12525.155402188924</v>
      </c>
      <c r="X22">
        <f>'Raw Counts'!X22</f>
        <v>8966.7800827085975</v>
      </c>
      <c r="Y22">
        <f>'Raw Counts'!Y22</f>
        <v>5814.2179849418362</v>
      </c>
      <c r="Z22">
        <f>'Raw Counts'!Z22</f>
        <v>90307.719457337967</v>
      </c>
      <c r="AA22">
        <f>'Raw Counts'!AA22</f>
        <v>139352.36650906823</v>
      </c>
      <c r="AB22">
        <f>'Raw Counts'!AB22</f>
        <v>13580.830354799191</v>
      </c>
      <c r="AC22">
        <f>'Raw Counts'!AC22</f>
        <v>9531.9378715028579</v>
      </c>
      <c r="AD22">
        <f>'Raw Counts'!AD22</f>
        <v>6310.381770469925</v>
      </c>
      <c r="AE22">
        <f>'Raw Counts'!AE22</f>
        <v>107582.48984292654</v>
      </c>
      <c r="AF22">
        <f>'Raw Counts'!AF22</f>
        <v>139245.53897877011</v>
      </c>
      <c r="AG22">
        <f>'Raw Counts'!AG22</f>
        <v>14769.142144490495</v>
      </c>
      <c r="AH22">
        <f>'Raw Counts'!AH22</f>
        <v>9296.2769271358229</v>
      </c>
      <c r="AI22">
        <f>'Raw Counts'!AI22</f>
        <v>6150.8974927635381</v>
      </c>
      <c r="AJ22">
        <f>'Raw Counts'!AJ22</f>
        <v>99650.781233502872</v>
      </c>
      <c r="AK22">
        <f>'Raw Counts'!AK22</f>
        <v>139021.32711968015</v>
      </c>
      <c r="AL22">
        <f>'Raw Counts'!AL22</f>
        <v>14649.158127319297</v>
      </c>
      <c r="AM22">
        <f>'Raw Counts'!AM22</f>
        <v>9627.8719258651799</v>
      </c>
      <c r="AN22">
        <f>'Raw Counts'!AN22</f>
        <v>6207.1857418310465</v>
      </c>
      <c r="AO22">
        <f>'Raw Counts'!AO22</f>
        <v>96399.191618253695</v>
      </c>
      <c r="AP22">
        <f>'Raw Counts'!AP22</f>
        <v>138270.33906398778</v>
      </c>
      <c r="AQ22">
        <f>'Raw Counts'!AQ22</f>
        <v>13689.333001967405</v>
      </c>
      <c r="AR22">
        <f>'Raw Counts'!AR22</f>
        <v>9309.8327940206036</v>
      </c>
      <c r="AS22">
        <f>'Raw Counts'!AS22</f>
        <v>6177.9988652419515</v>
      </c>
      <c r="AT22">
        <f>'Raw Counts'!AT22</f>
        <v>90352.957284311356</v>
      </c>
      <c r="AU22">
        <f>'Raw Counts'!AU22</f>
        <v>138158.24451189997</v>
      </c>
      <c r="AV22">
        <f>'Raw Counts'!AV22</f>
        <v>13048.801557489069</v>
      </c>
      <c r="AW22">
        <f>'Raw Counts'!AW22</f>
        <v>9323.3886811243719</v>
      </c>
      <c r="AX22">
        <f>'Raw Counts'!AX22</f>
        <v>6113.372187039542</v>
      </c>
      <c r="AY22">
        <f>'Raw Counts'!AY22</f>
        <v>111479.22767239442</v>
      </c>
      <c r="AZ22">
        <f>'Raw Counts'!AZ22</f>
        <v>145054.54050996245</v>
      </c>
      <c r="BA22">
        <f>'Raw Counts'!BA22</f>
        <v>14912.0853518317</v>
      </c>
      <c r="BB22">
        <f>'Raw Counts'!BB22</f>
        <v>9483.9707235346541</v>
      </c>
      <c r="BC22">
        <f>'Raw Counts'!BC22</f>
        <v>6164.4486692410637</v>
      </c>
      <c r="BD22">
        <f>'Raw Counts'!BD22</f>
        <v>94243.345527042737</v>
      </c>
      <c r="BE22">
        <f>'Raw Counts'!BE22</f>
        <v>145056.67435479123</v>
      </c>
      <c r="BF22">
        <f>'Raw Counts'!BF22</f>
        <v>13958.492060085893</v>
      </c>
      <c r="BG22">
        <f>'Raw Counts'!BG22</f>
        <v>8961.5659431599506</v>
      </c>
      <c r="BH22">
        <f>'Raw Counts'!BH22</f>
        <v>6048.7459683379629</v>
      </c>
      <c r="BI22">
        <f>'Raw Counts'!BI22</f>
        <v>98342.846309362649</v>
      </c>
      <c r="BJ22">
        <f>'Raw Counts'!BJ22</f>
        <v>145833.63052130345</v>
      </c>
      <c r="BK22">
        <f>'Raw Counts'!BK22</f>
        <v>13462.945109154054</v>
      </c>
      <c r="BL22">
        <f>'Raw Counts'!BL22</f>
        <v>9522.5530400920325</v>
      </c>
      <c r="BM22">
        <f>'Raw Counts'!BM22</f>
        <v>6137.3463364891986</v>
      </c>
      <c r="BN22">
        <f>'Raw Counts'!BN22</f>
        <v>112758.4314081218</v>
      </c>
      <c r="BO22">
        <f>'Raw Counts'!BO22</f>
        <v>148698.55929406662</v>
      </c>
      <c r="BP22">
        <f>'Raw Counts'!BP22</f>
        <v>15560.040621076747</v>
      </c>
      <c r="BQ22">
        <f>'Raw Counts'!BQ22</f>
        <v>9390.1233408118769</v>
      </c>
      <c r="BR22">
        <f>'Raw Counts'!BR22</f>
        <v>6439.6393886919204</v>
      </c>
    </row>
    <row r="23" spans="1:70" x14ac:dyDescent="0.15">
      <c r="A23">
        <f>'Raw Counts'!A23</f>
        <v>101693.09392544006</v>
      </c>
      <c r="B23">
        <f>'Raw Counts'!B23</f>
        <v>136450.29417900022</v>
      </c>
      <c r="C23">
        <f>'Raw Counts'!C23</f>
        <v>15144.759753681954</v>
      </c>
      <c r="D23">
        <f>'Raw Counts'!D23</f>
        <v>9442.2613233805569</v>
      </c>
      <c r="E23">
        <f>'Raw Counts'!E23</f>
        <v>5983.077523007486</v>
      </c>
      <c r="F23">
        <f>'Raw Counts'!F23</f>
        <v>107370.59582114602</v>
      </c>
      <c r="G23">
        <f>'Raw Counts'!G23</f>
        <v>140905.36680207128</v>
      </c>
      <c r="H23">
        <f>'Raw Counts'!H23</f>
        <v>15070.676715555079</v>
      </c>
      <c r="I23">
        <f>'Raw Counts'!I23</f>
        <v>9619.5300986523016</v>
      </c>
      <c r="J23">
        <f>'Raw Counts'!J23</f>
        <v>6179.041573724815</v>
      </c>
      <c r="K23">
        <f>'Raw Counts'!K23</f>
        <v>120209.74933671697</v>
      </c>
      <c r="L23">
        <f>'Raw Counts'!L23</f>
        <v>141571.86149626708</v>
      </c>
      <c r="M23">
        <f>'Raw Counts'!M23</f>
        <v>15699.870875609897</v>
      </c>
      <c r="N23">
        <f>'Raw Counts'!N23</f>
        <v>9457.9025762673482</v>
      </c>
      <c r="O23">
        <f>'Raw Counts'!O23</f>
        <v>6282.2372828272473</v>
      </c>
      <c r="P23">
        <f>'Raw Counts'!P23</f>
        <v>81320.050088875709</v>
      </c>
      <c r="Q23">
        <f>'Raw Counts'!Q23</f>
        <v>137393.52051243666</v>
      </c>
      <c r="R23">
        <f>'Raw Counts'!R23</f>
        <v>11274.559195449501</v>
      </c>
      <c r="S23">
        <f>'Raw Counts'!S23</f>
        <v>8948.0115966966296</v>
      </c>
      <c r="T23">
        <f>'Raw Counts'!T23</f>
        <v>5732.9163631962974</v>
      </c>
      <c r="U23">
        <f>'Raw Counts'!U23</f>
        <v>85303.308577583026</v>
      </c>
      <c r="V23">
        <f>'Raw Counts'!V23</f>
        <v>137326.91988582097</v>
      </c>
      <c r="W23">
        <f>'Raw Counts'!W23</f>
        <v>12116.261518917177</v>
      </c>
      <c r="X23">
        <f>'Raw Counts'!X23</f>
        <v>8820.8033235336843</v>
      </c>
      <c r="Y23">
        <f>'Raw Counts'!Y23</f>
        <v>5771.4817593489042</v>
      </c>
      <c r="Z23">
        <f>'Raw Counts'!Z23</f>
        <v>91923.85682435421</v>
      </c>
      <c r="AA23">
        <f>'Raw Counts'!AA23</f>
        <v>140349.92432059086</v>
      </c>
      <c r="AB23">
        <f>'Raw Counts'!AB23</f>
        <v>13728.972745177542</v>
      </c>
      <c r="AC23">
        <f>'Raw Counts'!AC23</f>
        <v>9545.4940898882578</v>
      </c>
      <c r="AD23">
        <f>'Raw Counts'!AD23</f>
        <v>6188.4229534107553</v>
      </c>
      <c r="AE23">
        <f>'Raw Counts'!AE23</f>
        <v>106030.94121646389</v>
      </c>
      <c r="AF23">
        <f>'Raw Counts'!AF23</f>
        <v>138425.79132330138</v>
      </c>
      <c r="AG23">
        <f>'Raw Counts'!AG23</f>
        <v>15370.137771995074</v>
      </c>
      <c r="AH23">
        <f>'Raw Counts'!AH23</f>
        <v>9206.6027042298392</v>
      </c>
      <c r="AI23">
        <f>'Raw Counts'!AI23</f>
        <v>5973.6963552610705</v>
      </c>
      <c r="AJ23">
        <f>'Raw Counts'!AJ23</f>
        <v>96642.393505026601</v>
      </c>
      <c r="AK23">
        <f>'Raw Counts'!AK23</f>
        <v>138862.61528687959</v>
      </c>
      <c r="AL23">
        <f>'Raw Counts'!AL23</f>
        <v>14145.230535378907</v>
      </c>
      <c r="AM23">
        <f>'Raw Counts'!AM23</f>
        <v>9456.8594915571084</v>
      </c>
      <c r="AN23">
        <f>'Raw Counts'!AN23</f>
        <v>6072.7199473300252</v>
      </c>
      <c r="AO23">
        <f>'Raw Counts'!AO23</f>
        <v>96404.457234363203</v>
      </c>
      <c r="AP23">
        <f>'Raw Counts'!AP23</f>
        <v>138493.51695006707</v>
      </c>
      <c r="AQ23">
        <f>'Raw Counts'!AQ23</f>
        <v>14130.627838910734</v>
      </c>
      <c r="AR23">
        <f>'Raw Counts'!AR23</f>
        <v>9370.311906807854</v>
      </c>
      <c r="AS23">
        <f>'Raw Counts'!AS23</f>
        <v>6069.5928594986217</v>
      </c>
      <c r="AT23">
        <f>'Raw Counts'!AT23</f>
        <v>90847.447001439024</v>
      </c>
      <c r="AU23">
        <f>'Raw Counts'!AU23</f>
        <v>138372.89054886039</v>
      </c>
      <c r="AV23">
        <f>'Raw Counts'!AV23</f>
        <v>14160.884892427628</v>
      </c>
      <c r="AW23">
        <f>'Raw Counts'!AW23</f>
        <v>9300.4481919523278</v>
      </c>
      <c r="AX23">
        <f>'Raw Counts'!AX23</f>
        <v>5922.6209449487833</v>
      </c>
      <c r="AY23">
        <f>'Raw Counts'!AY23</f>
        <v>111896.83468411186</v>
      </c>
      <c r="AZ23">
        <f>'Raw Counts'!AZ23</f>
        <v>144777.24657262836</v>
      </c>
      <c r="BA23">
        <f>'Raw Counts'!BA23</f>
        <v>15874.133297547918</v>
      </c>
      <c r="BB23">
        <f>'Raw Counts'!BB23</f>
        <v>9695.6529344017526</v>
      </c>
      <c r="BC23">
        <f>'Raw Counts'!BC23</f>
        <v>6122.7534989465466</v>
      </c>
      <c r="BD23">
        <f>'Raw Counts'!BD23</f>
        <v>96458.154565180565</v>
      </c>
      <c r="BE23">
        <f>'Raw Counts'!BE23</f>
        <v>147222.58292240338</v>
      </c>
      <c r="BF23">
        <f>'Raw Counts'!BF23</f>
        <v>13689.333001967405</v>
      </c>
      <c r="BG23">
        <f>'Raw Counts'!BG23</f>
        <v>9248.3120239256332</v>
      </c>
      <c r="BH23">
        <f>'Raw Counts'!BH23</f>
        <v>6093.566893476077</v>
      </c>
      <c r="BI23">
        <f>'Raw Counts'!BI23</f>
        <v>97048.785549714143</v>
      </c>
      <c r="BJ23">
        <f>'Raw Counts'!BJ23</f>
        <v>145661.08074308815</v>
      </c>
      <c r="BK23">
        <f>'Raw Counts'!BK23</f>
        <v>14757.663514838863</v>
      </c>
      <c r="BL23">
        <f>'Raw Counts'!BL23</f>
        <v>9402.6362691850536</v>
      </c>
      <c r="BM23">
        <f>'Raw Counts'!BM23</f>
        <v>6084.1856116929821</v>
      </c>
      <c r="BN23">
        <f>'Raw Counts'!BN23</f>
        <v>109554.83950823173</v>
      </c>
      <c r="BO23">
        <f>'Raw Counts'!BO23</f>
        <v>147222.58292240338</v>
      </c>
      <c r="BP23">
        <f>'Raw Counts'!BP23</f>
        <v>14978.865070181797</v>
      </c>
      <c r="BQ23">
        <f>'Raw Counts'!BQ23</f>
        <v>9746.748550678667</v>
      </c>
      <c r="BR23">
        <f>'Raw Counts'!BR23</f>
        <v>6299.9575424321538</v>
      </c>
    </row>
    <row r="24" spans="1:70" x14ac:dyDescent="0.15">
      <c r="A24">
        <f>'Raw Counts'!A24</f>
        <v>100125.76880513447</v>
      </c>
      <c r="B24">
        <f>'Raw Counts'!B24</f>
        <v>135832.69709121072</v>
      </c>
      <c r="C24">
        <f>'Raw Counts'!C24</f>
        <v>14225.565816727962</v>
      </c>
      <c r="D24">
        <f>'Raw Counts'!D24</f>
        <v>9227.4568396434206</v>
      </c>
      <c r="E24">
        <f>'Raw Counts'!E24</f>
        <v>5885.0965816431326</v>
      </c>
      <c r="F24">
        <f>'Raw Counts'!F24</f>
        <v>106145.87662605221</v>
      </c>
      <c r="G24">
        <f>'Raw Counts'!G24</f>
        <v>140906.38245309889</v>
      </c>
      <c r="H24">
        <f>'Raw Counts'!H24</f>
        <v>15288.750620566518</v>
      </c>
      <c r="I24">
        <f>'Raw Counts'!I24</f>
        <v>9490.227250171678</v>
      </c>
      <c r="J24">
        <f>'Raw Counts'!J24</f>
        <v>6075.8470362372718</v>
      </c>
      <c r="K24">
        <f>'Raw Counts'!K24</f>
        <v>121276.95329236769</v>
      </c>
      <c r="L24">
        <f>'Raw Counts'!L24</f>
        <v>140267.35733756376</v>
      </c>
      <c r="M24">
        <f>'Raw Counts'!M24</f>
        <v>15697.777262551379</v>
      </c>
      <c r="N24">
        <f>'Raw Counts'!N24</f>
        <v>9515.2533997898845</v>
      </c>
      <c r="O24">
        <f>'Raw Counts'!O24</f>
        <v>6319.763285716921</v>
      </c>
      <c r="P24">
        <f>'Raw Counts'!P24</f>
        <v>81056.241973905679</v>
      </c>
      <c r="Q24">
        <f>'Raw Counts'!Q24</f>
        <v>137482.35595204332</v>
      </c>
      <c r="R24">
        <f>'Raw Counts'!R24</f>
        <v>11075.354436796193</v>
      </c>
      <c r="S24">
        <f>'Raw Counts'!S24</f>
        <v>8913.6028063367867</v>
      </c>
      <c r="T24">
        <f>'Raw Counts'!T24</f>
        <v>5719.3658300629122</v>
      </c>
      <c r="U24">
        <f>'Raw Counts'!U24</f>
        <v>83917.53591461078</v>
      </c>
      <c r="V24">
        <f>'Raw Counts'!V24</f>
        <v>136320.15269738925</v>
      </c>
      <c r="W24">
        <f>'Raw Counts'!W24</f>
        <v>12065.153580382725</v>
      </c>
      <c r="X24">
        <f>'Raw Counts'!X24</f>
        <v>8835.4014945287254</v>
      </c>
      <c r="Y24">
        <f>'Raw Counts'!Y24</f>
        <v>5605.7530793059132</v>
      </c>
      <c r="Z24">
        <f>'Raw Counts'!Z24</f>
        <v>90292.983629853697</v>
      </c>
      <c r="AA24">
        <f>'Raw Counts'!AA24</f>
        <v>140566.75509900451</v>
      </c>
      <c r="AB24">
        <f>'Raw Counts'!AB24</f>
        <v>13597.525296573407</v>
      </c>
      <c r="AC24">
        <f>'Raw Counts'!AC24</f>
        <v>9576.7769779078099</v>
      </c>
      <c r="AD24">
        <f>'Raw Counts'!AD24</f>
        <v>6172.7873259801663</v>
      </c>
      <c r="AE24">
        <f>'Raw Counts'!AE24</f>
        <v>107466.52430617149</v>
      </c>
      <c r="AF24">
        <f>'Raw Counts'!AF24</f>
        <v>140032.55842027807</v>
      </c>
      <c r="AG24">
        <f>'Raw Counts'!AG24</f>
        <v>14378.936965221534</v>
      </c>
      <c r="AH24">
        <f>'Raw Counts'!AH24</f>
        <v>9490.227250171678</v>
      </c>
      <c r="AI24">
        <f>'Raw Counts'!AI24</f>
        <v>6239.4998573530929</v>
      </c>
      <c r="AJ24">
        <f>'Raw Counts'!AJ24</f>
        <v>98888.319431110343</v>
      </c>
      <c r="AK24">
        <f>'Raw Counts'!AK24</f>
        <v>140208.14925109746</v>
      </c>
      <c r="AL24">
        <f>'Raw Counts'!AL24</f>
        <v>13544.315909984602</v>
      </c>
      <c r="AM24">
        <f>'Raw Counts'!AM24</f>
        <v>9628.9150302026046</v>
      </c>
      <c r="AN24">
        <f>'Raw Counts'!AN24</f>
        <v>6237.414426635597</v>
      </c>
      <c r="AO24">
        <f>'Raw Counts'!AO24</f>
        <v>94087.568208169454</v>
      </c>
      <c r="AP24">
        <f>'Raw Counts'!AP24</f>
        <v>139101.64875536389</v>
      </c>
      <c r="AQ24">
        <f>'Raw Counts'!AQ24</f>
        <v>14414.40309724072</v>
      </c>
      <c r="AR24">
        <f>'Raw Counts'!AR24</f>
        <v>9522.5530400920325</v>
      </c>
      <c r="AS24">
        <f>'Raw Counts'!AS24</f>
        <v>6080.0168233434233</v>
      </c>
      <c r="AT24">
        <f>'Raw Counts'!AT24</f>
        <v>90002.614943603025</v>
      </c>
      <c r="AU24">
        <f>'Raw Counts'!AU24</f>
        <v>139129.16745684893</v>
      </c>
      <c r="AV24">
        <f>'Raw Counts'!AV24</f>
        <v>13336.719157239531</v>
      </c>
      <c r="AW24">
        <f>'Raw Counts'!AW24</f>
        <v>9505.8685856074317</v>
      </c>
      <c r="AX24">
        <f>'Raw Counts'!AX24</f>
        <v>5972.6536703345228</v>
      </c>
      <c r="AY24">
        <f>'Raw Counts'!AY24</f>
        <v>108057.903337642</v>
      </c>
      <c r="AZ24">
        <f>'Raw Counts'!AZ24</f>
        <v>144995.30111381644</v>
      </c>
      <c r="BA24">
        <f>'Raw Counts'!BA24</f>
        <v>14635.596296990232</v>
      </c>
      <c r="BB24">
        <f>'Raw Counts'!BB24</f>
        <v>9333.8153763221289</v>
      </c>
      <c r="BC24">
        <f>'Raw Counts'!BC24</f>
        <v>6235.3299970827175</v>
      </c>
      <c r="BD24">
        <f>'Raw Counts'!BD24</f>
        <v>93939.169485508275</v>
      </c>
      <c r="BE24">
        <f>'Raw Counts'!BE24</f>
        <v>145790.23871870947</v>
      </c>
      <c r="BF24">
        <f>'Raw Counts'!BF24</f>
        <v>12905.887655941389</v>
      </c>
      <c r="BG24">
        <f>'Raw Counts'!BG24</f>
        <v>9046.0245613903207</v>
      </c>
      <c r="BH24">
        <f>'Raw Counts'!BH24</f>
        <v>5995.5857617307302</v>
      </c>
      <c r="BI24">
        <f>'Raw Counts'!BI24</f>
        <v>96321.28915602903</v>
      </c>
      <c r="BJ24">
        <f>'Raw Counts'!BJ24</f>
        <v>144323.27102005715</v>
      </c>
      <c r="BK24">
        <f>'Raw Counts'!BK24</f>
        <v>14656.459889253896</v>
      </c>
      <c r="BL24">
        <f>'Raw Counts'!BL24</f>
        <v>9156.5521736603387</v>
      </c>
      <c r="BM24">
        <f>'Raw Counts'!BM24</f>
        <v>6087.3127045448746</v>
      </c>
      <c r="BN24">
        <f>'Raw Counts'!BN24</f>
        <v>111794.48122179137</v>
      </c>
      <c r="BO24">
        <f>'Raw Counts'!BO24</f>
        <v>147669.38571633177</v>
      </c>
      <c r="BP24">
        <f>'Raw Counts'!BP24</f>
        <v>14916.262199983965</v>
      </c>
      <c r="BQ24">
        <f>'Raw Counts'!BQ24</f>
        <v>9530.8947782956202</v>
      </c>
      <c r="BR24">
        <f>'Raw Counts'!BR24</f>
        <v>6330.1875364692651</v>
      </c>
    </row>
    <row r="25" spans="1:70" x14ac:dyDescent="0.15">
      <c r="A25">
        <f>'Raw Counts'!A25</f>
        <v>100557.61566921693</v>
      </c>
      <c r="B25">
        <f>'Raw Counts'!B25</f>
        <v>136092.8664044617</v>
      </c>
      <c r="C25">
        <f>'Raw Counts'!C25</f>
        <v>13847.90302752235</v>
      </c>
      <c r="D25">
        <f>'Raw Counts'!D25</f>
        <v>9348.414371341134</v>
      </c>
      <c r="E25">
        <f>'Raw Counts'!E25</f>
        <v>5885.0965816431326</v>
      </c>
      <c r="F25">
        <f>'Raw Counts'!F25</f>
        <v>108457.4399641577</v>
      </c>
      <c r="G25">
        <f>'Raw Counts'!G25</f>
        <v>141874.45124594518</v>
      </c>
      <c r="H25">
        <f>'Raw Counts'!H25</f>
        <v>15106.155564077933</v>
      </c>
      <c r="I25">
        <f>'Raw Counts'!I25</f>
        <v>9578.8621739194805</v>
      </c>
      <c r="J25">
        <f>'Raw Counts'!J25</f>
        <v>6151.9401981374476</v>
      </c>
      <c r="K25">
        <f>'Raw Counts'!K25</f>
        <v>121482.78782943462</v>
      </c>
      <c r="L25">
        <f>'Raw Counts'!L25</f>
        <v>141998.27319613111</v>
      </c>
      <c r="M25">
        <f>'Raw Counts'!M25</f>
        <v>15523.528239648329</v>
      </c>
      <c r="N25">
        <f>'Raw Counts'!N25</f>
        <v>9298.3630598164873</v>
      </c>
      <c r="O25">
        <f>'Raw Counts'!O25</f>
        <v>6347.9078895567845</v>
      </c>
      <c r="P25">
        <f>'Raw Counts'!P25</f>
        <v>81440.918459570035</v>
      </c>
      <c r="Q25">
        <f>'Raw Counts'!Q25</f>
        <v>138061.99051460531</v>
      </c>
      <c r="R25">
        <f>'Raw Counts'!R25</f>
        <v>11384.065601240651</v>
      </c>
      <c r="S25">
        <f>'Raw Counts'!S25</f>
        <v>8932.371221293195</v>
      </c>
      <c r="T25">
        <f>'Raw Counts'!T25</f>
        <v>5795.4560076859298</v>
      </c>
      <c r="U25">
        <f>'Raw Counts'!U25</f>
        <v>84803.852077331336</v>
      </c>
      <c r="V25">
        <f>'Raw Counts'!V25</f>
        <v>136993.82257791713</v>
      </c>
      <c r="W25">
        <f>'Raw Counts'!W25</f>
        <v>11860.714687312422</v>
      </c>
      <c r="X25">
        <f>'Raw Counts'!X25</f>
        <v>9120.0575025485941</v>
      </c>
      <c r="Y25">
        <f>'Raw Counts'!Y25</f>
        <v>5714.1545537577331</v>
      </c>
      <c r="Z25">
        <f>'Raw Counts'!Z25</f>
        <v>91076.813410856324</v>
      </c>
      <c r="AA25">
        <f>'Raw Counts'!AA25</f>
        <v>140550.91155014929</v>
      </c>
      <c r="AB25">
        <f>'Raw Counts'!AB25</f>
        <v>13547.450578178927</v>
      </c>
      <c r="AC25">
        <f>'Raw Counts'!AC25</f>
        <v>9480.8424618312292</v>
      </c>
      <c r="AD25">
        <f>'Raw Counts'!AD25</f>
        <v>6239.4998573530929</v>
      </c>
      <c r="AE25">
        <f>'Raw Counts'!AE25</f>
        <v>107486.56013057909</v>
      </c>
      <c r="AF25">
        <f>'Raw Counts'!AF25</f>
        <v>139356.63151267267</v>
      </c>
      <c r="AG25">
        <f>'Raw Counts'!AG25</f>
        <v>15553.779914251356</v>
      </c>
      <c r="AH25">
        <f>'Raw Counts'!AH25</f>
        <v>9500.655137819811</v>
      </c>
      <c r="AI25">
        <f>'Raw Counts'!AI25</f>
        <v>6248.8812994399123</v>
      </c>
      <c r="AJ25">
        <f>'Raw Counts'!AJ25</f>
        <v>98778.803652108269</v>
      </c>
      <c r="AK25">
        <f>'Raw Counts'!AK25</f>
        <v>139409.53803392313</v>
      </c>
      <c r="AL25">
        <f>'Raw Counts'!AL25</f>
        <v>14600.119285606093</v>
      </c>
      <c r="AM25">
        <f>'Raw Counts'!AM25</f>
        <v>9678.9681621419713</v>
      </c>
      <c r="AN25">
        <f>'Raw Counts'!AN25</f>
        <v>6187.380243851615</v>
      </c>
      <c r="AO25">
        <f>'Raw Counts'!AO25</f>
        <v>95780.174567351467</v>
      </c>
      <c r="AP25">
        <f>'Raw Counts'!AP25</f>
        <v>138898.56129327329</v>
      </c>
      <c r="AQ25">
        <f>'Raw Counts'!AQ25</f>
        <v>14280.862462815583</v>
      </c>
      <c r="AR25">
        <f>'Raw Counts'!AR25</f>
        <v>9605.9737698361805</v>
      </c>
      <c r="AS25">
        <f>'Raw Counts'!AS25</f>
        <v>6242.6270036394781</v>
      </c>
      <c r="AT25">
        <f>'Raw Counts'!AT25</f>
        <v>89520.795135068503</v>
      </c>
      <c r="AU25">
        <f>'Raw Counts'!AU25</f>
        <v>138817.12450027597</v>
      </c>
      <c r="AV25">
        <f>'Raw Counts'!AV25</f>
        <v>12964.310739522385</v>
      </c>
      <c r="AW25">
        <f>'Raw Counts'!AW25</f>
        <v>9340.0717995936193</v>
      </c>
      <c r="AX25">
        <f>'Raw Counts'!AX25</f>
        <v>6126.9233075713528</v>
      </c>
      <c r="AY25">
        <f>'Raw Counts'!AY25</f>
        <v>111947.45502345165</v>
      </c>
      <c r="AZ25">
        <f>'Raw Counts'!AZ25</f>
        <v>145000.58488640992</v>
      </c>
      <c r="BA25">
        <f>'Raw Counts'!BA25</f>
        <v>15303.355178197135</v>
      </c>
      <c r="BB25">
        <f>'Raw Counts'!BB25</f>
        <v>9548.6223738448152</v>
      </c>
      <c r="BC25">
        <f>'Raw Counts'!BC25</f>
        <v>6188.4229534107553</v>
      </c>
      <c r="BD25">
        <f>'Raw Counts'!BD25</f>
        <v>95875.970376761237</v>
      </c>
      <c r="BE25">
        <f>'Raw Counts'!BE25</f>
        <v>145492.80214781652</v>
      </c>
      <c r="BF25">
        <f>'Raw Counts'!BF25</f>
        <v>13902.155783590541</v>
      </c>
      <c r="BG25">
        <f>'Raw Counts'!BG25</f>
        <v>9254.568388338439</v>
      </c>
      <c r="BH25">
        <f>'Raw Counts'!BH25</f>
        <v>6090.4397984725529</v>
      </c>
      <c r="BI25">
        <f>'Raw Counts'!BI25</f>
        <v>94213.871206231037</v>
      </c>
      <c r="BJ25">
        <f>'Raw Counts'!BJ25</f>
        <v>144253.36812280456</v>
      </c>
      <c r="BK25">
        <f>'Raw Counts'!BK25</f>
        <v>13264.743909418088</v>
      </c>
      <c r="BL25">
        <f>'Raw Counts'!BL25</f>
        <v>9367.1836842253269</v>
      </c>
      <c r="BM25">
        <f>'Raw Counts'!BM25</f>
        <v>6052.9147423453378</v>
      </c>
      <c r="BN25">
        <f>'Raw Counts'!BN25</f>
        <v>111602.63486871379</v>
      </c>
      <c r="BO25">
        <f>'Raw Counts'!BO25</f>
        <v>147486.23049397272</v>
      </c>
      <c r="BP25">
        <f>'Raw Counts'!BP25</f>
        <v>15076.937089546504</v>
      </c>
      <c r="BQ25">
        <f>'Raw Counts'!BQ25</f>
        <v>9527.766500440981</v>
      </c>
      <c r="BR25">
        <f>'Raw Counts'!BR25</f>
        <v>6376.0525805451198</v>
      </c>
    </row>
    <row r="26" spans="1:70" x14ac:dyDescent="0.15">
      <c r="A26">
        <f>'Raw Counts'!A26</f>
        <v>103574.64641831613</v>
      </c>
      <c r="B26">
        <f>'Raw Counts'!B26</f>
        <v>136130.93316171516</v>
      </c>
      <c r="C26">
        <f>'Raw Counts'!C26</f>
        <v>14444.661095627634</v>
      </c>
      <c r="D26">
        <f>'Raw Counts'!D26</f>
        <v>9295.2348619981913</v>
      </c>
      <c r="E26">
        <f>'Raw Counts'!E26</f>
        <v>5993.5003869751572</v>
      </c>
      <c r="F26">
        <f>'Raw Counts'!F26</f>
        <v>110733.65718135929</v>
      </c>
      <c r="G26">
        <f>'Raw Counts'!G26</f>
        <v>142962.29361596442</v>
      </c>
      <c r="H26">
        <f>'Raw Counts'!H26</f>
        <v>14776.444002835082</v>
      </c>
      <c r="I26">
        <f>'Raw Counts'!I26</f>
        <v>9483.9707235346541</v>
      </c>
      <c r="J26">
        <f>'Raw Counts'!J26</f>
        <v>6305.1701553035446</v>
      </c>
      <c r="K26">
        <f>'Raw Counts'!K26</f>
        <v>120987.71857068478</v>
      </c>
      <c r="L26">
        <f>'Raw Counts'!L26</f>
        <v>141915.79275883475</v>
      </c>
      <c r="M26">
        <f>'Raw Counts'!M26</f>
        <v>15242.843580260638</v>
      </c>
      <c r="N26">
        <f>'Raw Counts'!N26</f>
        <v>9413.0640563346551</v>
      </c>
      <c r="O26">
        <f>'Raw Counts'!O26</f>
        <v>6240.5415722044945</v>
      </c>
      <c r="P26">
        <f>'Raw Counts'!P26</f>
        <v>80925.924847469942</v>
      </c>
      <c r="Q26">
        <f>'Raw Counts'!Q26</f>
        <v>136709.36453593741</v>
      </c>
      <c r="R26">
        <f>'Raw Counts'!R26</f>
        <v>11466.459102862382</v>
      </c>
      <c r="S26">
        <f>'Raw Counts'!S26</f>
        <v>8834.3584812593908</v>
      </c>
      <c r="T26">
        <f>'Raw Counts'!T26</f>
        <v>5633.8954723568986</v>
      </c>
      <c r="U26">
        <f>'Raw Counts'!U26</f>
        <v>86010.993070650919</v>
      </c>
      <c r="V26">
        <f>'Raw Counts'!V26</f>
        <v>138544.2861178634</v>
      </c>
      <c r="W26">
        <f>'Raw Counts'!W26</f>
        <v>11920.172416845257</v>
      </c>
      <c r="X26">
        <f>'Raw Counts'!X26</f>
        <v>9048.1106366307249</v>
      </c>
      <c r="Y26">
        <f>'Raw Counts'!Y26</f>
        <v>5782.948044363874</v>
      </c>
      <c r="Z26">
        <f>'Raw Counts'!Z26</f>
        <v>91011.582581297553</v>
      </c>
      <c r="AA26">
        <f>'Raw Counts'!AA26</f>
        <v>139838.99607082727</v>
      </c>
      <c r="AB26">
        <f>'Raw Counts'!AB26</f>
        <v>14002.309405484364</v>
      </c>
      <c r="AC26">
        <f>'Raw Counts'!AC26</f>
        <v>9554.8789449880587</v>
      </c>
      <c r="AD26">
        <f>'Raw Counts'!AD26</f>
        <v>6285.3644438172605</v>
      </c>
      <c r="AE26">
        <f>'Raw Counts'!AE26</f>
        <v>107745.81554972558</v>
      </c>
      <c r="AF26">
        <f>'Raw Counts'!AF26</f>
        <v>139413.70151608455</v>
      </c>
      <c r="AG26">
        <f>'Raw Counts'!AG26</f>
        <v>15026.854218376946</v>
      </c>
      <c r="AH26">
        <f>'Raw Counts'!AH26</f>
        <v>9239.9695440632386</v>
      </c>
      <c r="AI26">
        <f>'Raw Counts'!AI26</f>
        <v>6025.8137428211276</v>
      </c>
      <c r="AJ26">
        <f>'Raw Counts'!AJ26</f>
        <v>100973.60749237487</v>
      </c>
      <c r="AK26">
        <f>'Raw Counts'!AK26</f>
        <v>140145.79329726298</v>
      </c>
      <c r="AL26">
        <f>'Raw Counts'!AL26</f>
        <v>14458.222641008251</v>
      </c>
      <c r="AM26">
        <f>'Raw Counts'!AM26</f>
        <v>9691.4814881984785</v>
      </c>
      <c r="AN26">
        <f>'Raw Counts'!AN26</f>
        <v>6332.2719877756135</v>
      </c>
      <c r="AO26">
        <f>'Raw Counts'!AO26</f>
        <v>96004.410507226741</v>
      </c>
      <c r="AP26">
        <f>'Raw Counts'!AP26</f>
        <v>140379.57955851388</v>
      </c>
      <c r="AQ26">
        <f>'Raw Counts'!AQ26</f>
        <v>14231.825608533351</v>
      </c>
      <c r="AR26">
        <f>'Raw Counts'!AR26</f>
        <v>9458.9446600561023</v>
      </c>
      <c r="AS26">
        <f>'Raw Counts'!AS26</f>
        <v>6200.9314747208009</v>
      </c>
      <c r="AT26">
        <f>'Raw Counts'!AT26</f>
        <v>91849.144524762232</v>
      </c>
      <c r="AU26">
        <f>'Raw Counts'!AU26</f>
        <v>139361.91199611098</v>
      </c>
      <c r="AV26">
        <f>'Raw Counts'!AV26</f>
        <v>13674.721023010739</v>
      </c>
      <c r="AW26">
        <f>'Raw Counts'!AW26</f>
        <v>9283.7641451947111</v>
      </c>
      <c r="AX26">
        <f>'Raw Counts'!AX26</f>
        <v>6038.3220403552868</v>
      </c>
      <c r="AY26">
        <f>'Raw Counts'!AY26</f>
        <v>109734.09169626186</v>
      </c>
      <c r="AZ26">
        <f>'Raw Counts'!AZ26</f>
        <v>145219.66094116707</v>
      </c>
      <c r="BA26">
        <f>'Raw Counts'!BA26</f>
        <v>15293.969393266218</v>
      </c>
      <c r="BB26">
        <f>'Raw Counts'!BB26</f>
        <v>9471.4576831814647</v>
      </c>
      <c r="BC26">
        <f>'Raw Counts'!BC26</f>
        <v>6314.5516651714806</v>
      </c>
      <c r="BD26">
        <f>'Raw Counts'!BD26</f>
        <v>97447.827138020337</v>
      </c>
      <c r="BE26">
        <f>'Raw Counts'!BE26</f>
        <v>147474.54202342284</v>
      </c>
      <c r="BF26">
        <f>'Raw Counts'!BF26</f>
        <v>13275.169118719035</v>
      </c>
      <c r="BG26">
        <f>'Raw Counts'!BG26</f>
        <v>9479.8003755316622</v>
      </c>
      <c r="BH26">
        <f>'Raw Counts'!BH26</f>
        <v>5960.1454631688466</v>
      </c>
      <c r="BI26">
        <f>'Raw Counts'!BI26</f>
        <v>97927.96580609247</v>
      </c>
      <c r="BJ26">
        <f>'Raw Counts'!BJ26</f>
        <v>145997.74893869285</v>
      </c>
      <c r="BK26">
        <f>'Raw Counts'!BK26</f>
        <v>13252.22566237116</v>
      </c>
      <c r="BL26">
        <f>'Raw Counts'!BL26</f>
        <v>9406.8075828162491</v>
      </c>
      <c r="BM26">
        <f>'Raw Counts'!BM26</f>
        <v>6022.6866711271341</v>
      </c>
      <c r="BN26">
        <f>'Raw Counts'!BN26</f>
        <v>111794.48122179137</v>
      </c>
      <c r="BO26">
        <f>'Raw Counts'!BO26</f>
        <v>148573.52752014226</v>
      </c>
      <c r="BP26">
        <f>'Raw Counts'!BP26</f>
        <v>14966.344461639685</v>
      </c>
      <c r="BQ26">
        <f>'Raw Counts'!BQ26</f>
        <v>9818.7009473950366</v>
      </c>
      <c r="BR26">
        <f>'Raw Counts'!BR26</f>
        <v>6435.4694366036674</v>
      </c>
    </row>
    <row r="27" spans="1:70" x14ac:dyDescent="0.15">
      <c r="A27">
        <f>'Raw Counts'!A27</f>
        <v>99016.802243283775</v>
      </c>
      <c r="B27">
        <f>'Raw Counts'!B27</f>
        <v>135975.52028758917</v>
      </c>
      <c r="C27">
        <f>'Raw Counts'!C27</f>
        <v>14167.144639678072</v>
      </c>
      <c r="D27">
        <f>'Raw Counts'!D27</f>
        <v>9273.337507417049</v>
      </c>
      <c r="E27">
        <f>'Raw Counts'!E27</f>
        <v>5964.3151971969355</v>
      </c>
      <c r="F27">
        <f>'Raw Counts'!F27</f>
        <v>110072.56512212998</v>
      </c>
      <c r="G27">
        <f>'Raw Counts'!G27</f>
        <v>142220.52717817639</v>
      </c>
      <c r="H27">
        <f>'Raw Counts'!H27</f>
        <v>14769.142144490495</v>
      </c>
      <c r="I27">
        <f>'Raw Counts'!I27</f>
        <v>9394.2946487001391</v>
      </c>
      <c r="J27">
        <f>'Raw Counts'!J27</f>
        <v>6121.7107969208637</v>
      </c>
      <c r="K27">
        <f>'Raw Counts'!K27</f>
        <v>123244.98770284596</v>
      </c>
      <c r="L27">
        <f>'Raw Counts'!L27</f>
        <v>140987.83803650021</v>
      </c>
      <c r="M27">
        <f>'Raw Counts'!M27</f>
        <v>16316.576117787024</v>
      </c>
      <c r="N27">
        <f>'Raw Counts'!N27</f>
        <v>9331.7302365309843</v>
      </c>
      <c r="O27">
        <f>'Raw Counts'!O27</f>
        <v>6192.5927921619386</v>
      </c>
      <c r="P27">
        <f>'Raw Counts'!P27</f>
        <v>81109.848501653527</v>
      </c>
      <c r="Q27">
        <f>'Raw Counts'!Q27</f>
        <v>137029.76116752671</v>
      </c>
      <c r="R27">
        <f>'Raw Counts'!R27</f>
        <v>11816.907666629073</v>
      </c>
      <c r="S27">
        <f>'Raw Counts'!S27</f>
        <v>8936.5413181133717</v>
      </c>
      <c r="T27">
        <f>'Raw Counts'!T27</f>
        <v>5467.1276745432006</v>
      </c>
      <c r="U27">
        <f>'Raw Counts'!U27</f>
        <v>82427.914031764303</v>
      </c>
      <c r="V27">
        <f>'Raw Counts'!V27</f>
        <v>137005.39600646001</v>
      </c>
      <c r="W27">
        <f>'Raw Counts'!W27</f>
        <v>12379.11546891455</v>
      </c>
      <c r="X27">
        <f>'Raw Counts'!X27</f>
        <v>8911.5167619689855</v>
      </c>
      <c r="Y27">
        <f>'Raw Counts'!Y27</f>
        <v>5809.005653615438</v>
      </c>
      <c r="Z27">
        <f>'Raw Counts'!Z27</f>
        <v>91744.966544029157</v>
      </c>
      <c r="AA27">
        <f>'Raw Counts'!AA27</f>
        <v>140929.64089282497</v>
      </c>
      <c r="AB27">
        <f>'Raw Counts'!AB27</f>
        <v>13526.58953191502</v>
      </c>
      <c r="AC27">
        <f>'Raw Counts'!AC27</f>
        <v>9535.0661507933019</v>
      </c>
      <c r="AD27">
        <f>'Raw Counts'!AD27</f>
        <v>6278.0674029504426</v>
      </c>
      <c r="AE27">
        <f>'Raw Counts'!AE27</f>
        <v>108500.65331431119</v>
      </c>
      <c r="AF27">
        <f>'Raw Counts'!AF27</f>
        <v>139571.30595580157</v>
      </c>
      <c r="AG27">
        <f>'Raw Counts'!AG27</f>
        <v>14598.035941981698</v>
      </c>
      <c r="AH27">
        <f>'Raw Counts'!AH27</f>
        <v>9555.9210398961259</v>
      </c>
      <c r="AI27">
        <f>'Raw Counts'!AI27</f>
        <v>6143.6005598475294</v>
      </c>
      <c r="AJ27">
        <f>'Raw Counts'!AJ27</f>
        <v>98236.491062412402</v>
      </c>
      <c r="AK27">
        <f>'Raw Counts'!AK27</f>
        <v>141005.81524026167</v>
      </c>
      <c r="AL27">
        <f>'Raw Counts'!AL27</f>
        <v>14433.182875838875</v>
      </c>
      <c r="AM27">
        <f>'Raw Counts'!AM27</f>
        <v>9624.7436146306645</v>
      </c>
      <c r="AN27">
        <f>'Raw Counts'!AN27</f>
        <v>6123.7962010919082</v>
      </c>
      <c r="AO27">
        <f>'Raw Counts'!AO27</f>
        <v>97218.299513274833</v>
      </c>
      <c r="AP27">
        <f>'Raw Counts'!AP27</f>
        <v>140598.54384153077</v>
      </c>
      <c r="AQ27">
        <f>'Raw Counts'!AQ27</f>
        <v>13981.437299634346</v>
      </c>
      <c r="AR27">
        <f>'Raw Counts'!AR27</f>
        <v>9561.135520438489</v>
      </c>
      <c r="AS27">
        <f>'Raw Counts'!AS27</f>
        <v>6053.9574364790824</v>
      </c>
      <c r="AT27">
        <f>'Raw Counts'!AT27</f>
        <v>89854.283056967994</v>
      </c>
      <c r="AU27">
        <f>'Raw Counts'!AU27</f>
        <v>139199.03080893899</v>
      </c>
      <c r="AV27">
        <f>'Raw Counts'!AV27</f>
        <v>13362.797431410248</v>
      </c>
      <c r="AW27">
        <f>'Raw Counts'!AW27</f>
        <v>9244.1407830372245</v>
      </c>
      <c r="AX27">
        <f>'Raw Counts'!AX27</f>
        <v>6022.6866711271341</v>
      </c>
      <c r="AY27">
        <f>'Raw Counts'!AY27</f>
        <v>110265.49253319936</v>
      </c>
      <c r="AZ27">
        <f>'Raw Counts'!AZ27</f>
        <v>144962.48082619405</v>
      </c>
      <c r="BA27">
        <f>'Raw Counts'!BA27</f>
        <v>15231.364352228244</v>
      </c>
      <c r="BB27">
        <f>'Raw Counts'!BB27</f>
        <v>9412.020976770531</v>
      </c>
      <c r="BC27">
        <f>'Raw Counts'!BC27</f>
        <v>6085.2283094139502</v>
      </c>
      <c r="BD27">
        <f>'Raw Counts'!BD27</f>
        <v>95964.39973091062</v>
      </c>
      <c r="BE27">
        <f>'Raw Counts'!BE27</f>
        <v>147150.52329911012</v>
      </c>
      <c r="BF27">
        <f>'Raw Counts'!BF27</f>
        <v>13505.718518668935</v>
      </c>
      <c r="BG27">
        <f>'Raw Counts'!BG27</f>
        <v>9245.1838433343164</v>
      </c>
      <c r="BH27">
        <f>'Raw Counts'!BH27</f>
        <v>5938.2561420472866</v>
      </c>
      <c r="BI27">
        <f>'Raw Counts'!BI27</f>
        <v>96522.373473272397</v>
      </c>
      <c r="BJ27">
        <f>'Raw Counts'!BJ27</f>
        <v>144667.20519815575</v>
      </c>
      <c r="BK27">
        <f>'Raw Counts'!BK27</f>
        <v>14202.6199607584</v>
      </c>
      <c r="BL27">
        <f>'Raw Counts'!BL27</f>
        <v>9404.7224262789568</v>
      </c>
      <c r="BM27">
        <f>'Raw Counts'!BM27</f>
        <v>6183.2114081722257</v>
      </c>
      <c r="BN27">
        <f>'Raw Counts'!BN27</f>
        <v>113666.58835086921</v>
      </c>
      <c r="BO27">
        <f>'Raw Counts'!BO27</f>
        <v>148610.63026475412</v>
      </c>
      <c r="BP27">
        <f>'Raw Counts'!BP27</f>
        <v>14779.579096078287</v>
      </c>
      <c r="BQ27">
        <f>'Raw Counts'!BQ27</f>
        <v>9869.7982565447201</v>
      </c>
      <c r="BR27">
        <f>'Raw Counts'!BR27</f>
        <v>6258.2627512097342</v>
      </c>
    </row>
    <row r="28" spans="1:70" x14ac:dyDescent="0.15">
      <c r="A28">
        <f>'Raw Counts'!A28</f>
        <v>101217.00290645052</v>
      </c>
      <c r="B28">
        <f>'Raw Counts'!B28</f>
        <v>136102.40845658709</v>
      </c>
      <c r="C28">
        <f>'Raw Counts'!C28</f>
        <v>14491.615779199645</v>
      </c>
      <c r="D28">
        <f>'Raw Counts'!D28</f>
        <v>9463.1159995308572</v>
      </c>
      <c r="E28">
        <f>'Raw Counts'!E28</f>
        <v>6111.2877859326181</v>
      </c>
      <c r="F28">
        <f>'Raw Counts'!F28</f>
        <v>107703.71892742156</v>
      </c>
      <c r="G28">
        <f>'Raw Counts'!G28</f>
        <v>141485.11893461656</v>
      </c>
      <c r="H28">
        <f>'Raw Counts'!H28</f>
        <v>15241.801834709999</v>
      </c>
      <c r="I28">
        <f>'Raw Counts'!I28</f>
        <v>9615.3586873879649</v>
      </c>
      <c r="J28">
        <f>'Raw Counts'!J28</f>
        <v>6186.3385350929038</v>
      </c>
      <c r="K28">
        <f>'Raw Counts'!K28</f>
        <v>121074.26506316003</v>
      </c>
      <c r="L28">
        <f>'Raw Counts'!L28</f>
        <v>142427.85402339595</v>
      </c>
      <c r="M28">
        <f>'Raw Counts'!M28</f>
        <v>15711.350695500199</v>
      </c>
      <c r="N28">
        <f>'Raw Counts'!N28</f>
        <v>9490.227250171678</v>
      </c>
      <c r="O28">
        <f>'Raw Counts'!O28</f>
        <v>6301.0002649059543</v>
      </c>
      <c r="P28">
        <f>'Raw Counts'!P28</f>
        <v>80512.889640181776</v>
      </c>
      <c r="Q28">
        <f>'Raw Counts'!Q28</f>
        <v>137244.4819836395</v>
      </c>
      <c r="R28">
        <f>'Raw Counts'!R28</f>
        <v>11451.860710173387</v>
      </c>
      <c r="S28">
        <f>'Raw Counts'!S28</f>
        <v>8841.6575747120933</v>
      </c>
      <c r="T28">
        <f>'Raw Counts'!T28</f>
        <v>5742.2972824380959</v>
      </c>
      <c r="U28">
        <f>'Raw Counts'!U28</f>
        <v>84547.310901854304</v>
      </c>
      <c r="V28">
        <f>'Raw Counts'!V28</f>
        <v>137291.99536274187</v>
      </c>
      <c r="W28">
        <f>'Raw Counts'!W28</f>
        <v>12210.137056873855</v>
      </c>
      <c r="X28">
        <f>'Raw Counts'!X28</f>
        <v>8988.6766987081519</v>
      </c>
      <c r="Y28">
        <f>'Raw Counts'!Y28</f>
        <v>5801.7099958015051</v>
      </c>
      <c r="Z28">
        <f>'Raw Counts'!Z28</f>
        <v>91569.241519022573</v>
      </c>
      <c r="AA28">
        <f>'Raw Counts'!AA28</f>
        <v>140086.48444968002</v>
      </c>
      <c r="AB28">
        <f>'Raw Counts'!AB28</f>
        <v>13802.003265488971</v>
      </c>
      <c r="AC28">
        <f>'Raw Counts'!AC28</f>
        <v>9702.9517185293371</v>
      </c>
      <c r="AD28">
        <f>'Raw Counts'!AD28</f>
        <v>6255.1355995439026</v>
      </c>
      <c r="AE28">
        <f>'Raw Counts'!AE28</f>
        <v>104415.52444403891</v>
      </c>
      <c r="AF28">
        <f>'Raw Counts'!AF28</f>
        <v>138438.48349365027</v>
      </c>
      <c r="AG28">
        <f>'Raw Counts'!AG28</f>
        <v>14377.895318703389</v>
      </c>
      <c r="AH28">
        <f>'Raw Counts'!AH28</f>
        <v>9477.7142012045551</v>
      </c>
      <c r="AI28">
        <f>'Raw Counts'!AI28</f>
        <v>6144.6432643843527</v>
      </c>
      <c r="AJ28">
        <f>'Raw Counts'!AJ28</f>
        <v>98696.665158680407</v>
      </c>
      <c r="AK28">
        <f>'Raw Counts'!AK28</f>
        <v>141022.77681551571</v>
      </c>
      <c r="AL28">
        <f>'Raw Counts'!AL28</f>
        <v>14065.947590341759</v>
      </c>
      <c r="AM28">
        <f>'Raw Counts'!AM28</f>
        <v>9569.4772940543826</v>
      </c>
      <c r="AN28">
        <f>'Raw Counts'!AN28</f>
        <v>6182.1686992109444</v>
      </c>
      <c r="AO28">
        <f>'Raw Counts'!AO28</f>
        <v>97062.471074386209</v>
      </c>
      <c r="AP28">
        <f>'Raw Counts'!AP28</f>
        <v>140907.49966936221</v>
      </c>
      <c r="AQ28">
        <f>'Raw Counts'!AQ28</f>
        <v>13773.830561063083</v>
      </c>
      <c r="AR28">
        <f>'Raw Counts'!AR28</f>
        <v>9321.3025426995246</v>
      </c>
      <c r="AS28">
        <f>'Raw Counts'!AS28</f>
        <v>6252.0084489539631</v>
      </c>
      <c r="AT28">
        <f>'Raw Counts'!AT28</f>
        <v>92538.397935368848</v>
      </c>
      <c r="AU28">
        <f>'Raw Counts'!AU28</f>
        <v>138928.21177881319</v>
      </c>
      <c r="AV28">
        <f>'Raw Counts'!AV28</f>
        <v>13682.022002020063</v>
      </c>
      <c r="AW28">
        <f>'Raw Counts'!AW28</f>
        <v>9211.8159833437694</v>
      </c>
      <c r="AX28">
        <f>'Raw Counts'!AX28</f>
        <v>6182.1686992109444</v>
      </c>
      <c r="AY28">
        <f>'Raw Counts'!AY28</f>
        <v>112085.54874691297</v>
      </c>
      <c r="AZ28">
        <f>'Raw Counts'!AZ28</f>
        <v>145324.52667997955</v>
      </c>
      <c r="BA28">
        <f>'Raw Counts'!BA28</f>
        <v>15243.885325930709</v>
      </c>
      <c r="BB28">
        <f>'Raw Counts'!BB28</f>
        <v>9716.5081919980294</v>
      </c>
      <c r="BC28">
        <f>'Raw Counts'!BC28</f>
        <v>6222.8214284343567</v>
      </c>
      <c r="BD28">
        <f>'Raw Counts'!BD28</f>
        <v>94749.627666116387</v>
      </c>
      <c r="BE28">
        <f>'Raw Counts'!BE28</f>
        <v>145547.87849351921</v>
      </c>
      <c r="BF28">
        <f>'Raw Counts'!BF28</f>
        <v>14173.404391240401</v>
      </c>
      <c r="BG28">
        <f>'Raw Counts'!BG28</f>
        <v>9423.4918554486594</v>
      </c>
      <c r="BH28">
        <f>'Raw Counts'!BH28</f>
        <v>5977.8650948478125</v>
      </c>
      <c r="BI28">
        <f>'Raw Counts'!BI28</f>
        <v>95562.270409682475</v>
      </c>
      <c r="BJ28">
        <f>'Raw Counts'!BJ28</f>
        <v>145668.49889323328</v>
      </c>
      <c r="BK28">
        <f>'Raw Counts'!BK28</f>
        <v>13330.459981987024</v>
      </c>
      <c r="BL28">
        <f>'Raw Counts'!BL28</f>
        <v>9295.2348619981913</v>
      </c>
      <c r="BM28">
        <f>'Raw Counts'!BM28</f>
        <v>6259.3044682115378</v>
      </c>
      <c r="BN28">
        <f>'Raw Counts'!BN28</f>
        <v>111518.20351265064</v>
      </c>
      <c r="BO28">
        <f>'Raw Counts'!BO28</f>
        <v>147662.98233584332</v>
      </c>
      <c r="BP28">
        <f>'Raw Counts'!BP28</f>
        <v>15203.187216106093</v>
      </c>
      <c r="BQ28">
        <f>'Raw Counts'!BQ28</f>
        <v>9705.0379445580766</v>
      </c>
      <c r="BR28">
        <f>'Raw Counts'!BR28</f>
        <v>6507.3956241393935</v>
      </c>
    </row>
    <row r="29" spans="1:70" x14ac:dyDescent="0.15">
      <c r="A29">
        <f>'Raw Counts'!A29</f>
        <v>101659.41886641161</v>
      </c>
      <c r="B29">
        <f>'Raw Counts'!B29</f>
        <v>136069.62038338432</v>
      </c>
      <c r="C29">
        <f>'Raw Counts'!C29</f>
        <v>14383.103552488272</v>
      </c>
      <c r="D29">
        <f>'Raw Counts'!D29</f>
        <v>9348.414371341134</v>
      </c>
      <c r="E29">
        <f>'Raw Counts'!E29</f>
        <v>5963.2725133465456</v>
      </c>
      <c r="F29">
        <f>'Raw Counts'!F29</f>
        <v>108855.8809325152</v>
      </c>
      <c r="G29">
        <f>'Raw Counts'!G29</f>
        <v>142195.13225153813</v>
      </c>
      <c r="H29">
        <f>'Raw Counts'!H29</f>
        <v>14809.838310424966</v>
      </c>
      <c r="I29">
        <f>'Raw Counts'!I29</f>
        <v>9549.6644680354948</v>
      </c>
      <c r="J29">
        <f>'Raw Counts'!J29</f>
        <v>6315.5933886244875</v>
      </c>
      <c r="K29">
        <f>'Raw Counts'!K29</f>
        <v>122341.14089249427</v>
      </c>
      <c r="L29">
        <f>'Raw Counts'!L29</f>
        <v>142565.3973326275</v>
      </c>
      <c r="M29">
        <f>'Raw Counts'!M29</f>
        <v>15861.61145539931</v>
      </c>
      <c r="N29">
        <f>'Raw Counts'!N29</f>
        <v>9446.4316541585122</v>
      </c>
      <c r="O29">
        <f>'Raw Counts'!O29</f>
        <v>6210.3128769999239</v>
      </c>
      <c r="P29">
        <f>'Raw Counts'!P29</f>
        <v>80706.268651475519</v>
      </c>
      <c r="Q29">
        <f>'Raw Counts'!Q29</f>
        <v>137417.88671771632</v>
      </c>
      <c r="R29">
        <f>'Raw Counts'!R29</f>
        <v>11413.272204830902</v>
      </c>
      <c r="S29">
        <f>'Raw Counts'!S29</f>
        <v>8893.7914100477774</v>
      </c>
      <c r="T29">
        <f>'Raw Counts'!T29</f>
        <v>5677.6727014047483</v>
      </c>
      <c r="U29">
        <f>'Raw Counts'!U29</f>
        <v>87630.565164303232</v>
      </c>
      <c r="V29">
        <f>'Raw Counts'!V29</f>
        <v>138855.20271008575</v>
      </c>
      <c r="W29">
        <f>'Raw Counts'!W29</f>
        <v>12617.983705361092</v>
      </c>
      <c r="X29">
        <f>'Raw Counts'!X29</f>
        <v>9109.6300515740622</v>
      </c>
      <c r="Y29">
        <f>'Raw Counts'!Y29</f>
        <v>5879.8852103184054</v>
      </c>
      <c r="Z29">
        <f>'Raw Counts'!Z29</f>
        <v>92022.763683237485</v>
      </c>
      <c r="AA29">
        <f>'Raw Counts'!AA29</f>
        <v>141105.24911923733</v>
      </c>
      <c r="AB29">
        <f>'Raw Counts'!AB29</f>
        <v>13359.672841618858</v>
      </c>
      <c r="AC29">
        <f>'Raw Counts'!AC29</f>
        <v>9493.3555151053697</v>
      </c>
      <c r="AD29">
        <f>'Raw Counts'!AD29</f>
        <v>6263.4743394805564</v>
      </c>
      <c r="AE29">
        <f>'Raw Counts'!AE29</f>
        <v>107243.09750740408</v>
      </c>
      <c r="AF29">
        <f>'Raw Counts'!AF29</f>
        <v>139753.28562805147</v>
      </c>
      <c r="AG29">
        <f>'Raw Counts'!AG29</f>
        <v>14719.060969660763</v>
      </c>
      <c r="AH29">
        <f>'Raw Counts'!AH29</f>
        <v>9519.424765108557</v>
      </c>
      <c r="AI29">
        <f>'Raw Counts'!AI29</f>
        <v>6315.5933886244875</v>
      </c>
      <c r="AJ29">
        <f>'Raw Counts'!AJ29</f>
        <v>100657.61779442822</v>
      </c>
      <c r="AK29">
        <f>'Raw Counts'!AK29</f>
        <v>140952.89939228719</v>
      </c>
      <c r="AL29">
        <f>'Raw Counts'!AL29</f>
        <v>14071.165660836332</v>
      </c>
      <c r="AM29">
        <f>'Raw Counts'!AM29</f>
        <v>9424.5339352919727</v>
      </c>
      <c r="AN29">
        <f>'Raw Counts'!AN29</f>
        <v>6169.6602037216462</v>
      </c>
      <c r="AO29">
        <f>'Raw Counts'!AO29</f>
        <v>99673.954233923767</v>
      </c>
      <c r="AP29">
        <f>'Raw Counts'!AP29</f>
        <v>141723.2058943435</v>
      </c>
      <c r="AQ29">
        <f>'Raw Counts'!AQ29</f>
        <v>14056.553067906767</v>
      </c>
      <c r="AR29">
        <f>'Raw Counts'!AR29</f>
        <v>9576.7769779078099</v>
      </c>
      <c r="AS29">
        <f>'Raw Counts'!AS29</f>
        <v>6144.6432643843527</v>
      </c>
      <c r="AT29">
        <f>'Raw Counts'!AT29</f>
        <v>91236.751128227086</v>
      </c>
      <c r="AU29">
        <f>'Raw Counts'!AU29</f>
        <v>139183.08810700293</v>
      </c>
      <c r="AV29">
        <f>'Raw Counts'!AV29</f>
        <v>13853.120972815339</v>
      </c>
      <c r="AW29">
        <f>'Raw Counts'!AW29</f>
        <v>9320.2604746925117</v>
      </c>
      <c r="AX29">
        <f>'Raw Counts'!AX29</f>
        <v>6163.4059624322081</v>
      </c>
      <c r="AY29">
        <f>'Raw Counts'!AY29</f>
        <v>112017.00783083811</v>
      </c>
      <c r="AZ29">
        <f>'Raw Counts'!AZ29</f>
        <v>145969.09151459808</v>
      </c>
      <c r="BA29">
        <f>'Raw Counts'!BA29</f>
        <v>15457.786288739333</v>
      </c>
      <c r="BB29">
        <f>'Raw Counts'!BB29</f>
        <v>9547.5792787226674</v>
      </c>
      <c r="BC29">
        <f>'Raw Counts'!BC29</f>
        <v>6277.0256837982261</v>
      </c>
      <c r="BD29">
        <f>'Raw Counts'!BD29</f>
        <v>95486.477129193896</v>
      </c>
      <c r="BE29">
        <f>'Raw Counts'!BE29</f>
        <v>145951.10445431827</v>
      </c>
      <c r="BF29">
        <f>'Raw Counts'!BF29</f>
        <v>13782.173197814525</v>
      </c>
      <c r="BG29">
        <f>'Raw Counts'!BG29</f>
        <v>9304.6194586832844</v>
      </c>
      <c r="BH29">
        <f>'Raw Counts'!BH29</f>
        <v>5980.9921511216808</v>
      </c>
      <c r="BI29">
        <f>'Raw Counts'!BI29</f>
        <v>98494.4812682802</v>
      </c>
      <c r="BJ29">
        <f>'Raw Counts'!BJ29</f>
        <v>145726.72650203403</v>
      </c>
      <c r="BK29">
        <f>'Raw Counts'!BK29</f>
        <v>13661.160646835424</v>
      </c>
      <c r="BL29">
        <f>'Raw Counts'!BL29</f>
        <v>9392.2094950335777</v>
      </c>
      <c r="BM29">
        <f>'Raw Counts'!BM29</f>
        <v>6059.1689076082548</v>
      </c>
      <c r="BN29">
        <f>'Raw Counts'!BN29</f>
        <v>113296.38873770479</v>
      </c>
      <c r="BO29">
        <f>'Raw Counts'!BO29</f>
        <v>148141.52045320068</v>
      </c>
      <c r="BP29">
        <f>'Raw Counts'!BP29</f>
        <v>16223.700007516762</v>
      </c>
      <c r="BQ29">
        <f>'Raw Counts'!BQ29</f>
        <v>9945.923188519233</v>
      </c>
      <c r="BR29">
        <f>'Raw Counts'!BR29</f>
        <v>6391.6885576400791</v>
      </c>
    </row>
    <row r="30" spans="1:70" x14ac:dyDescent="0.15">
      <c r="A30">
        <f>'Raw Counts'!A30</f>
        <v>100445.95635908404</v>
      </c>
      <c r="B30">
        <f>'Raw Counts'!B30</f>
        <v>136928.24009552956</v>
      </c>
      <c r="C30">
        <f>'Raw Counts'!C30</f>
        <v>14402.934931529926</v>
      </c>
      <c r="D30">
        <f>'Raw Counts'!D30</f>
        <v>9426.6200974121566</v>
      </c>
      <c r="E30">
        <f>'Raw Counts'!E30</f>
        <v>5934.0864199736225</v>
      </c>
      <c r="F30">
        <f>'Raw Counts'!F30</f>
        <v>109032.99392054345</v>
      </c>
      <c r="G30">
        <f>'Raw Counts'!G30</f>
        <v>141761.29632583327</v>
      </c>
      <c r="H30">
        <f>'Raw Counts'!H30</f>
        <v>14912.0853518317</v>
      </c>
      <c r="I30">
        <f>'Raw Counts'!I30</f>
        <v>9638.2999714438538</v>
      </c>
      <c r="J30">
        <f>'Raw Counts'!J30</f>
        <v>6172.7873259801663</v>
      </c>
      <c r="K30">
        <f>'Raw Counts'!K30</f>
        <v>120597.15487031502</v>
      </c>
      <c r="L30">
        <f>'Raw Counts'!L30</f>
        <v>141942.20266930712</v>
      </c>
      <c r="M30">
        <f>'Raw Counts'!M30</f>
        <v>15958.651174597704</v>
      </c>
      <c r="N30">
        <f>'Raw Counts'!N30</f>
        <v>9303.5763915651078</v>
      </c>
      <c r="O30">
        <f>'Raw Counts'!O30</f>
        <v>6331.2292617143075</v>
      </c>
      <c r="P30">
        <f>'Raw Counts'!P30</f>
        <v>79692.141653205414</v>
      </c>
      <c r="Q30">
        <f>'Raw Counts'!Q30</f>
        <v>136994.83779035549</v>
      </c>
      <c r="R30">
        <f>'Raw Counts'!R30</f>
        <v>11633.341023520536</v>
      </c>
      <c r="S30">
        <f>'Raw Counts'!S30</f>
        <v>8805.1631670363731</v>
      </c>
      <c r="T30">
        <f>'Raw Counts'!T30</f>
        <v>5805.8786565098935</v>
      </c>
      <c r="U30">
        <f>'Raw Counts'!U30</f>
        <v>85707.09303308111</v>
      </c>
      <c r="V30">
        <f>'Raw Counts'!V30</f>
        <v>138459.60330453923</v>
      </c>
      <c r="W30">
        <f>'Raw Counts'!W30</f>
        <v>12029.686602319267</v>
      </c>
      <c r="X30">
        <f>'Raw Counts'!X30</f>
        <v>9024.1278072266432</v>
      </c>
      <c r="Y30">
        <f>'Raw Counts'!Y30</f>
        <v>5795.4560076859298</v>
      </c>
      <c r="Z30">
        <f>'Raw Counts'!Z30</f>
        <v>93168.77190103996</v>
      </c>
      <c r="AA30">
        <f>'Raw Counts'!AA30</f>
        <v>141952.76665506294</v>
      </c>
      <c r="AB30">
        <f>'Raw Counts'!AB30</f>
        <v>14201.568318813495</v>
      </c>
      <c r="AC30">
        <f>'Raw Counts'!AC30</f>
        <v>9759.2619700579999</v>
      </c>
      <c r="AD30">
        <f>'Raw Counts'!AD30</f>
        <v>6303.0847095188237</v>
      </c>
      <c r="AE30">
        <f>'Raw Counts'!AE30</f>
        <v>107000.65328066894</v>
      </c>
      <c r="AF30">
        <f>'Raw Counts'!AF30</f>
        <v>138829.81721908951</v>
      </c>
      <c r="AG30">
        <f>'Raw Counts'!AG30</f>
        <v>14701.322283730064</v>
      </c>
      <c r="AH30">
        <f>'Raw Counts'!AH30</f>
        <v>9456.8594915571084</v>
      </c>
      <c r="AI30">
        <f>'Raw Counts'!AI30</f>
        <v>6234.2872821425226</v>
      </c>
      <c r="AJ30">
        <f>'Raw Counts'!AJ30</f>
        <v>98654.539773267403</v>
      </c>
      <c r="AK30">
        <f>'Raw Counts'!AK30</f>
        <v>140924.35949515513</v>
      </c>
      <c r="AL30">
        <f>'Raw Counts'!AL30</f>
        <v>13851.027785188229</v>
      </c>
      <c r="AM30">
        <f>'Raw Counts'!AM30</f>
        <v>9668.540069900966</v>
      </c>
      <c r="AN30">
        <f>'Raw Counts'!AN30</f>
        <v>6236.3727121425327</v>
      </c>
      <c r="AO30">
        <f>'Raw Counts'!AO30</f>
        <v>96373.9247888721</v>
      </c>
      <c r="AP30">
        <f>'Raw Counts'!AP30</f>
        <v>139654.88210343197</v>
      </c>
      <c r="AQ30">
        <f>'Raw Counts'!AQ30</f>
        <v>14206.786467183609</v>
      </c>
      <c r="AR30">
        <f>'Raw Counts'!AR30</f>
        <v>9481.8855492940038</v>
      </c>
      <c r="AS30">
        <f>'Raw Counts'!AS30</f>
        <v>6280.152842995255</v>
      </c>
      <c r="AT30">
        <f>'Raw Counts'!AT30</f>
        <v>91729.187921941761</v>
      </c>
      <c r="AU30">
        <f>'Raw Counts'!AU30</f>
        <v>140268.47447499266</v>
      </c>
      <c r="AV30">
        <f>'Raw Counts'!AV30</f>
        <v>13472.339017943546</v>
      </c>
      <c r="AW30">
        <f>'Raw Counts'!AW30</f>
        <v>9430.79042101298</v>
      </c>
      <c r="AX30">
        <f>'Raw Counts'!AX30</f>
        <v>6058.1272135433728</v>
      </c>
      <c r="AY30">
        <f>'Raw Counts'!AY30</f>
        <v>111023.67833196394</v>
      </c>
      <c r="AZ30">
        <f>'Raw Counts'!AZ30</f>
        <v>146441.23922066137</v>
      </c>
      <c r="BA30">
        <f>'Raw Counts'!BA30</f>
        <v>15502.65263947727</v>
      </c>
      <c r="BB30">
        <f>'Raw Counts'!BB30</f>
        <v>9681.0533815997842</v>
      </c>
      <c r="BC30">
        <f>'Raw Counts'!BC30</f>
        <v>6115.4565886244109</v>
      </c>
      <c r="BD30">
        <f>'Raw Counts'!BD30</f>
        <v>95662.278086372564</v>
      </c>
      <c r="BE30">
        <f>'Raw Counts'!BE30</f>
        <v>146287.78343429937</v>
      </c>
      <c r="BF30">
        <f>'Raw Counts'!BF30</f>
        <v>14705.499035008139</v>
      </c>
      <c r="BG30">
        <f>'Raw Counts'!BG30</f>
        <v>9399.5080354766615</v>
      </c>
      <c r="BH30">
        <f>'Raw Counts'!BH30</f>
        <v>5944.5102284172781</v>
      </c>
      <c r="BI30">
        <f>'Raw Counts'!BI30</f>
        <v>96453.940025739357</v>
      </c>
      <c r="BJ30">
        <f>'Raw Counts'!BJ30</f>
        <v>145030.25535900643</v>
      </c>
      <c r="BK30">
        <f>'Raw Counts'!BK30</f>
        <v>14556.299057598804</v>
      </c>
      <c r="BL30">
        <f>'Raw Counts'!BL30</f>
        <v>9481.8855492940038</v>
      </c>
      <c r="BM30">
        <f>'Raw Counts'!BM30</f>
        <v>6073.7626437356912</v>
      </c>
      <c r="BN30">
        <f>'Raw Counts'!BN30</f>
        <v>110995.23256603778</v>
      </c>
      <c r="BO30">
        <f>'Raw Counts'!BO30</f>
        <v>148151.07521011669</v>
      </c>
      <c r="BP30">
        <f>'Raw Counts'!BP30</f>
        <v>15210.499439979005</v>
      </c>
      <c r="BQ30">
        <f>'Raw Counts'!BQ30</f>
        <v>9798.8885791424709</v>
      </c>
      <c r="BR30">
        <f>'Raw Counts'!BR30</f>
        <v>6530.3290647116237</v>
      </c>
    </row>
    <row r="31" spans="1:70" x14ac:dyDescent="0.15">
      <c r="A31">
        <f>'Raw Counts'!A31</f>
        <v>101656.18283129147</v>
      </c>
      <c r="B31">
        <f>'Raw Counts'!B31</f>
        <v>136798.19326489503</v>
      </c>
      <c r="C31">
        <f>'Raw Counts'!C31</f>
        <v>14397.71667052579</v>
      </c>
      <c r="D31">
        <f>'Raw Counts'!D31</f>
        <v>9247.2689632696256</v>
      </c>
      <c r="E31">
        <f>'Raw Counts'!E31</f>
        <v>6060.2116024593934</v>
      </c>
      <c r="F31">
        <f>'Raw Counts'!F31</f>
        <v>111701.74654088405</v>
      </c>
      <c r="G31">
        <f>'Raw Counts'!G31</f>
        <v>143246.94814353433</v>
      </c>
      <c r="H31">
        <f>'Raw Counts'!H31</f>
        <v>15144.759753681954</v>
      </c>
      <c r="I31">
        <f>'Raw Counts'!I31</f>
        <v>9677.9250520598707</v>
      </c>
      <c r="J31">
        <f>'Raw Counts'!J31</f>
        <v>6272.8558063124037</v>
      </c>
      <c r="K31">
        <f>'Raw Counts'!K31</f>
        <v>123204.84635508452</v>
      </c>
      <c r="L31">
        <f>'Raw Counts'!L31</f>
        <v>143459.68295861711</v>
      </c>
      <c r="M31">
        <f>'Raw Counts'!M31</f>
        <v>15494.308423074064</v>
      </c>
      <c r="N31">
        <f>'Raw Counts'!N31</f>
        <v>9321.3025426995246</v>
      </c>
      <c r="O31">
        <f>'Raw Counts'!O31</f>
        <v>6388.5613600692877</v>
      </c>
      <c r="P31">
        <f>'Raw Counts'!P31</f>
        <v>81163.445256434105</v>
      </c>
      <c r="Q31">
        <f>'Raw Counts'!Q31</f>
        <v>138647.9576424892</v>
      </c>
      <c r="R31">
        <f>'Raw Counts'!R31</f>
        <v>11218.239554513973</v>
      </c>
      <c r="S31">
        <f>'Raw Counts'!S31</f>
        <v>8948.0115966966296</v>
      </c>
      <c r="T31">
        <f>'Raw Counts'!T31</f>
        <v>5726.6624224137995</v>
      </c>
      <c r="U31">
        <f>'Raw Counts'!U31</f>
        <v>83928.052664639574</v>
      </c>
      <c r="V31">
        <f>'Raw Counts'!V31</f>
        <v>137692.82327704495</v>
      </c>
      <c r="W31">
        <f>'Raw Counts'!W31</f>
        <v>12238.304914092747</v>
      </c>
      <c r="X31">
        <f>'Raw Counts'!X31</f>
        <v>9148.2107790312948</v>
      </c>
      <c r="Y31">
        <f>'Raw Counts'!Y31</f>
        <v>5903.8587439317607</v>
      </c>
      <c r="Z31">
        <f>'Raw Counts'!Z31</f>
        <v>90661.224895174251</v>
      </c>
      <c r="AA31">
        <f>'Raw Counts'!AA31</f>
        <v>141025.92537489603</v>
      </c>
      <c r="AB31">
        <f>'Raw Counts'!AB31</f>
        <v>14189.048781199788</v>
      </c>
      <c r="AC31">
        <f>'Raw Counts'!AC31</f>
        <v>9802.0169503192737</v>
      </c>
      <c r="AD31">
        <f>'Raw Counts'!AD31</f>
        <v>6361.4593597576913</v>
      </c>
      <c r="AE31">
        <f>'Raw Counts'!AE31</f>
        <v>107352.68523546588</v>
      </c>
      <c r="AF31">
        <f>'Raw Counts'!AF31</f>
        <v>139361.91199611098</v>
      </c>
      <c r="AG31">
        <f>'Raw Counts'!AG31</f>
        <v>15732.216757795775</v>
      </c>
      <c r="AH31">
        <f>'Raw Counts'!AH31</f>
        <v>9330.6871663013626</v>
      </c>
      <c r="AI31">
        <f>'Raw Counts'!AI31</f>
        <v>6179.041573724815</v>
      </c>
      <c r="AJ31">
        <f>'Raw Counts'!AJ31</f>
        <v>98297.568602331157</v>
      </c>
      <c r="AK31">
        <f>'Raw Counts'!AK31</f>
        <v>140710.66860387949</v>
      </c>
      <c r="AL31">
        <f>'Raw Counts'!AL31</f>
        <v>13917.799706588954</v>
      </c>
      <c r="AM31">
        <f>'Raw Counts'!AM31</f>
        <v>9414.1071360184978</v>
      </c>
      <c r="AN31">
        <f>'Raw Counts'!AN31</f>
        <v>6295.7886551187485</v>
      </c>
      <c r="AO31">
        <f>'Raw Counts'!AO31</f>
        <v>95034.88358052769</v>
      </c>
      <c r="AP31">
        <f>'Raw Counts'!AP31</f>
        <v>139867.53254753869</v>
      </c>
      <c r="AQ31">
        <f>'Raw Counts'!AQ31</f>
        <v>14299.641965441528</v>
      </c>
      <c r="AR31">
        <f>'Raw Counts'!AR31</f>
        <v>9534.0230572270266</v>
      </c>
      <c r="AS31">
        <f>'Raw Counts'!AS31</f>
        <v>6421.9178560589835</v>
      </c>
      <c r="AT31">
        <f>'Raw Counts'!AT31</f>
        <v>91720.763239957756</v>
      </c>
      <c r="AU31">
        <f>'Raw Counts'!AU31</f>
        <v>139724.74951134829</v>
      </c>
      <c r="AV31">
        <f>'Raw Counts'!AV31</f>
        <v>14324.681362645724</v>
      </c>
      <c r="AW31">
        <f>'Raw Counts'!AW31</f>
        <v>9312.9609968634122</v>
      </c>
      <c r="AX31">
        <f>'Raw Counts'!AX31</f>
        <v>6145.6859690407919</v>
      </c>
      <c r="AY31">
        <f>'Raw Counts'!AY31</f>
        <v>112059.22573408166</v>
      </c>
      <c r="AZ31">
        <f>'Raw Counts'!AZ31</f>
        <v>146609.63707329528</v>
      </c>
      <c r="BA31">
        <f>'Raw Counts'!BA31</f>
        <v>15203.187216106093</v>
      </c>
      <c r="BB31">
        <f>'Raw Counts'!BB31</f>
        <v>9775.9468897231745</v>
      </c>
      <c r="BC31">
        <f>'Raw Counts'!BC31</f>
        <v>6263.4743394805564</v>
      </c>
      <c r="BD31">
        <f>'Raw Counts'!BD31</f>
        <v>96703.450199930812</v>
      </c>
      <c r="BE31">
        <f>'Raw Counts'!BE31</f>
        <v>147123.08184441281</v>
      </c>
      <c r="BF31">
        <f>'Raw Counts'!BF31</f>
        <v>14238.085404650978</v>
      </c>
      <c r="BG31">
        <f>'Raw Counts'!BG31</f>
        <v>9420.3636145618984</v>
      </c>
      <c r="BH31">
        <f>'Raw Counts'!BH31</f>
        <v>6082.1012172792325</v>
      </c>
      <c r="BI31">
        <f>'Raw Counts'!BI31</f>
        <v>96565.540073954093</v>
      </c>
      <c r="BJ31">
        <f>'Raw Counts'!BJ31</f>
        <v>145447.27804116879</v>
      </c>
      <c r="BK31">
        <f>'Raw Counts'!BK31</f>
        <v>14259.999732870405</v>
      </c>
      <c r="BL31">
        <f>'Raw Counts'!BL31</f>
        <v>9347.3712991966968</v>
      </c>
      <c r="BM31">
        <f>'Raw Counts'!BM31</f>
        <v>6024.7710519159155</v>
      </c>
      <c r="BN31">
        <f>'Raw Counts'!BN31</f>
        <v>111531.97164173929</v>
      </c>
      <c r="BO31">
        <f>'Raw Counts'!BO31</f>
        <v>148617.03431551266</v>
      </c>
      <c r="BP31">
        <f>'Raw Counts'!BP31</f>
        <v>15973.256808927832</v>
      </c>
      <c r="BQ31">
        <f>'Raw Counts'!BQ31</f>
        <v>9694.6098224046746</v>
      </c>
      <c r="BR31">
        <f>'Raw Counts'!BR31</f>
        <v>6467.7843637252654</v>
      </c>
    </row>
    <row r="32" spans="1:70" x14ac:dyDescent="0.15">
      <c r="A32">
        <f>'Raw Counts'!A32</f>
        <v>102917.21161947509</v>
      </c>
      <c r="B32">
        <f>'Raw Counts'!B32</f>
        <v>137876.89735906068</v>
      </c>
      <c r="C32">
        <f>'Raw Counts'!C32</f>
        <v>14643.939724922571</v>
      </c>
      <c r="D32">
        <f>'Raw Counts'!D32</f>
        <v>9588.2470634754027</v>
      </c>
      <c r="E32">
        <f>'Raw Counts'!E32</f>
        <v>6041.4491174283776</v>
      </c>
      <c r="F32">
        <f>'Raw Counts'!F32</f>
        <v>107430.70279109111</v>
      </c>
      <c r="G32">
        <f>'Raw Counts'!G32</f>
        <v>142490.32727638364</v>
      </c>
      <c r="H32">
        <f>'Raw Counts'!H32</f>
        <v>15093.634780149165</v>
      </c>
      <c r="I32">
        <f>'Raw Counts'!I32</f>
        <v>9658.1129906881415</v>
      </c>
      <c r="J32">
        <f>'Raw Counts'!J32</f>
        <v>6207.1857418310465</v>
      </c>
      <c r="K32">
        <f>'Raw Counts'!K32</f>
        <v>121192.53309393105</v>
      </c>
      <c r="L32">
        <f>'Raw Counts'!L32</f>
        <v>141926.35671378038</v>
      </c>
      <c r="M32">
        <f>'Raw Counts'!M32</f>
        <v>16013.958367828762</v>
      </c>
      <c r="N32">
        <f>'Raw Counts'!N32</f>
        <v>9524.6382236630125</v>
      </c>
      <c r="O32">
        <f>'Raw Counts'!O32</f>
        <v>6406.2818269616673</v>
      </c>
      <c r="P32">
        <f>'Raw Counts'!P32</f>
        <v>81796.187360231052</v>
      </c>
      <c r="Q32">
        <f>'Raw Counts'!Q32</f>
        <v>138096.81647357446</v>
      </c>
      <c r="R32">
        <f>'Raw Counts'!R32</f>
        <v>11381.982994765147</v>
      </c>
      <c r="S32">
        <f>'Raw Counts'!S32</f>
        <v>9032.4700889693468</v>
      </c>
      <c r="T32">
        <f>'Raw Counts'!T32</f>
        <v>5761.0591499668926</v>
      </c>
      <c r="U32">
        <f>'Raw Counts'!U32</f>
        <v>86536.795278971054</v>
      </c>
      <c r="V32">
        <f>'Raw Counts'!V32</f>
        <v>138161.39207549902</v>
      </c>
      <c r="W32">
        <f>'Raw Counts'!W32</f>
        <v>12816.180813743798</v>
      </c>
      <c r="X32">
        <f>'Raw Counts'!X32</f>
        <v>9125.2707320199333</v>
      </c>
      <c r="Y32">
        <f>'Raw Counts'!Y32</f>
        <v>5767.3131144158278</v>
      </c>
      <c r="Z32">
        <f>'Raw Counts'!Z32</f>
        <v>90626.499950673737</v>
      </c>
      <c r="AA32">
        <f>'Raw Counts'!AA32</f>
        <v>139576.58656441706</v>
      </c>
      <c r="AB32">
        <f>'Raw Counts'!AB32</f>
        <v>14003.351008951589</v>
      </c>
      <c r="AC32">
        <f>'Raw Counts'!AC32</f>
        <v>9650.8132415071996</v>
      </c>
      <c r="AD32">
        <f>'Raw Counts'!AD32</f>
        <v>6366.6710071991265</v>
      </c>
      <c r="AE32">
        <f>'Raw Counts'!AE32</f>
        <v>106231.26972257342</v>
      </c>
      <c r="AF32">
        <f>'Raw Counts'!AF32</f>
        <v>139695.09641772986</v>
      </c>
      <c r="AG32">
        <f>'Raw Counts'!AG32</f>
        <v>15114.499424066982</v>
      </c>
      <c r="AH32">
        <f>'Raw Counts'!AH32</f>
        <v>9522.5530400920325</v>
      </c>
      <c r="AI32">
        <f>'Raw Counts'!AI32</f>
        <v>6191.5500821245032</v>
      </c>
      <c r="AJ32">
        <f>'Raw Counts'!AJ32</f>
        <v>98825.135145341963</v>
      </c>
      <c r="AK32">
        <f>'Raw Counts'!AK32</f>
        <v>140507.5450549901</v>
      </c>
      <c r="AL32">
        <f>'Raw Counts'!AL32</f>
        <v>13644.465588154513</v>
      </c>
      <c r="AM32">
        <f>'Raw Counts'!AM32</f>
        <v>9545.4940898882578</v>
      </c>
      <c r="AN32">
        <f>'Raw Counts'!AN32</f>
        <v>6330.1875364692651</v>
      </c>
      <c r="AO32">
        <f>'Raw Counts'!AO32</f>
        <v>97319.376666186887</v>
      </c>
      <c r="AP32">
        <f>'Raw Counts'!AP32</f>
        <v>141349.72500432143</v>
      </c>
      <c r="AQ32">
        <f>'Raw Counts'!AQ32</f>
        <v>14431.099570485865</v>
      </c>
      <c r="AR32">
        <f>'Raw Counts'!AR32</f>
        <v>9681.0533815997842</v>
      </c>
      <c r="AS32">
        <f>'Raw Counts'!AS32</f>
        <v>6213.4400132447436</v>
      </c>
      <c r="AT32">
        <f>'Raw Counts'!AT32</f>
        <v>93217.176201178518</v>
      </c>
      <c r="AU32">
        <f>'Raw Counts'!AU32</f>
        <v>140464.17876750781</v>
      </c>
      <c r="AV32">
        <f>'Raw Counts'!AV32</f>
        <v>14554.215724020461</v>
      </c>
      <c r="AW32">
        <f>'Raw Counts'!AW32</f>
        <v>9646.6418158845572</v>
      </c>
      <c r="AX32">
        <f>'Raw Counts'!AX32</f>
        <v>6145.6859690407919</v>
      </c>
      <c r="AY32">
        <f>'Raw Counts'!AY32</f>
        <v>111627.94418143645</v>
      </c>
      <c r="AZ32">
        <f>'Raw Counts'!AZ32</f>
        <v>146089.81914906573</v>
      </c>
      <c r="BA32">
        <f>'Raw Counts'!BA32</f>
        <v>15796.908867583585</v>
      </c>
      <c r="BB32">
        <f>'Raw Counts'!BB32</f>
        <v>9568.4341965386811</v>
      </c>
      <c r="BC32">
        <f>'Raw Counts'!BC32</f>
        <v>6273.8985256770939</v>
      </c>
      <c r="BD32">
        <f>'Raw Counts'!BD32</f>
        <v>96274.97045615426</v>
      </c>
      <c r="BE32">
        <f>'Raw Counts'!BE32</f>
        <v>147863.11552750427</v>
      </c>
      <c r="BF32">
        <f>'Raw Counts'!BF32</f>
        <v>13299.164170390537</v>
      </c>
      <c r="BG32">
        <f>'Raw Counts'!BG32</f>
        <v>9358.8410952491104</v>
      </c>
      <c r="BH32">
        <f>'Raw Counts'!BH32</f>
        <v>6124.8379026828406</v>
      </c>
      <c r="BI32">
        <f>'Raw Counts'!BI32</f>
        <v>95764.388921863938</v>
      </c>
      <c r="BJ32">
        <f>'Raw Counts'!BJ32</f>
        <v>145147.71886927713</v>
      </c>
      <c r="BK32">
        <f>'Raw Counts'!BK32</f>
        <v>14364.323877383315</v>
      </c>
      <c r="BL32">
        <f>'Raw Counts'!BL32</f>
        <v>9515.2533997898845</v>
      </c>
      <c r="BM32">
        <f>'Raw Counts'!BM32</f>
        <v>6121.7107969208637</v>
      </c>
      <c r="BN32">
        <f>'Raw Counts'!BN32</f>
        <v>111357.94807809636</v>
      </c>
      <c r="BO32">
        <f>'Raw Counts'!BO32</f>
        <v>148224.15926943382</v>
      </c>
      <c r="BP32">
        <f>'Raw Counts'!BP32</f>
        <v>15293.969393266218</v>
      </c>
      <c r="BQ32">
        <f>'Raw Counts'!BQ32</f>
        <v>9708.1662834304789</v>
      </c>
      <c r="BR32">
        <f>'Raw Counts'!BR32</f>
        <v>6467.7843637252654</v>
      </c>
    </row>
    <row r="33" spans="1:70" x14ac:dyDescent="0.15">
      <c r="A33">
        <f>'Raw Counts'!A33</f>
        <v>101937.51994984332</v>
      </c>
      <c r="B33">
        <f>'Raw Counts'!B33</f>
        <v>137083.66931934311</v>
      </c>
      <c r="C33">
        <f>'Raw Counts'!C33</f>
        <v>14360.157298727141</v>
      </c>
      <c r="D33">
        <f>'Raw Counts'!D33</f>
        <v>9456.8594915571084</v>
      </c>
      <c r="E33">
        <f>'Raw Counts'!E33</f>
        <v>6088.355402624572</v>
      </c>
      <c r="F33">
        <f>'Raw Counts'!F33</f>
        <v>109121.55171244546</v>
      </c>
      <c r="G33">
        <f>'Raw Counts'!G33</f>
        <v>142175.01952017954</v>
      </c>
      <c r="H33">
        <f>'Raw Counts'!H33</f>
        <v>14761.840292013116</v>
      </c>
      <c r="I33">
        <f>'Raw Counts'!I33</f>
        <v>9708.1662834304789</v>
      </c>
      <c r="J33">
        <f>'Raw Counts'!J33</f>
        <v>6259.3044682115378</v>
      </c>
      <c r="K33">
        <f>'Raw Counts'!K33</f>
        <v>120892.6602611064</v>
      </c>
      <c r="L33">
        <f>'Raw Counts'!L33</f>
        <v>141731.6365627074</v>
      </c>
      <c r="M33">
        <f>'Raw Counts'!M33</f>
        <v>15852.215076383274</v>
      </c>
      <c r="N33">
        <f>'Raw Counts'!N33</f>
        <v>9376.5683552030805</v>
      </c>
      <c r="O33">
        <f>'Raw Counts'!O33</f>
        <v>6129.0077122638249</v>
      </c>
      <c r="P33">
        <f>'Raw Counts'!P33</f>
        <v>82428.963515273412</v>
      </c>
      <c r="Q33">
        <f>'Raw Counts'!Q33</f>
        <v>137493.01626335483</v>
      </c>
      <c r="R33">
        <f>'Raw Counts'!R33</f>
        <v>11641.681695509576</v>
      </c>
      <c r="S33">
        <f>'Raw Counts'!S33</f>
        <v>8981.3774871838577</v>
      </c>
      <c r="T33">
        <f>'Raw Counts'!T33</f>
        <v>5672.4614490034819</v>
      </c>
      <c r="U33">
        <f>'Raw Counts'!U33</f>
        <v>84378.033633348547</v>
      </c>
      <c r="V33">
        <f>'Raw Counts'!V33</f>
        <v>138319.99008343217</v>
      </c>
      <c r="W33">
        <f>'Raw Counts'!W33</f>
        <v>12347.822933338941</v>
      </c>
      <c r="X33">
        <f>'Raw Counts'!X33</f>
        <v>9139.8683910517448</v>
      </c>
      <c r="Y33">
        <f>'Raw Counts'!Y33</f>
        <v>6016.432530966631</v>
      </c>
      <c r="Z33">
        <f>'Raw Counts'!Z33</f>
        <v>92159.564223637033</v>
      </c>
      <c r="AA33">
        <f>'Raw Counts'!AA33</f>
        <v>140642.9263939558</v>
      </c>
      <c r="AB33">
        <f>'Raw Counts'!AB33</f>
        <v>14695.062168502944</v>
      </c>
      <c r="AC33">
        <f>'Raw Counts'!AC33</f>
        <v>9676.8829431626818</v>
      </c>
      <c r="AD33">
        <f>'Raw Counts'!AD33</f>
        <v>6274.9402444709067</v>
      </c>
      <c r="AE33">
        <f>'Raw Counts'!AE33</f>
        <v>107314.73919628611</v>
      </c>
      <c r="AF33">
        <f>'Raw Counts'!AF33</f>
        <v>139502.55677465323</v>
      </c>
      <c r="AG33">
        <f>'Raw Counts'!AG33</f>
        <v>14767.058762115335</v>
      </c>
      <c r="AH33">
        <f>'Raw Counts'!AH33</f>
        <v>9808.2736959034992</v>
      </c>
      <c r="AI33">
        <f>'Raw Counts'!AI33</f>
        <v>6181.1259903692808</v>
      </c>
      <c r="AJ33">
        <f>'Raw Counts'!AJ33</f>
        <v>100226.87837827516</v>
      </c>
      <c r="AK33">
        <f>'Raw Counts'!AK33</f>
        <v>140772.01281140934</v>
      </c>
      <c r="AL33">
        <f>'Raw Counts'!AL33</f>
        <v>14254.781553943922</v>
      </c>
      <c r="AM33">
        <f>'Raw Counts'!AM33</f>
        <v>9529.8526862571034</v>
      </c>
      <c r="AN33">
        <f>'Raw Counts'!AN33</f>
        <v>6264.5170577690096</v>
      </c>
      <c r="AO33">
        <f>'Raw Counts'!AO33</f>
        <v>96191.793459051376</v>
      </c>
      <c r="AP33">
        <f>'Raw Counts'!AP33</f>
        <v>140380.59515057341</v>
      </c>
      <c r="AQ33">
        <f>'Raw Counts'!AQ33</f>
        <v>14470.742549466522</v>
      </c>
      <c r="AR33">
        <f>'Raw Counts'!AR33</f>
        <v>9562.1776160639474</v>
      </c>
      <c r="AS33">
        <f>'Raw Counts'!AS33</f>
        <v>6253.0501652390267</v>
      </c>
      <c r="AT33">
        <f>'Raw Counts'!AT33</f>
        <v>92514.192513428963</v>
      </c>
      <c r="AU33">
        <f>'Raw Counts'!AU33</f>
        <v>140283.30194845155</v>
      </c>
      <c r="AV33">
        <f>'Raw Counts'!AV33</f>
        <v>13592.30749803891</v>
      </c>
      <c r="AW33">
        <f>'Raw Counts'!AW33</f>
        <v>9726.9363392776268</v>
      </c>
      <c r="AX33">
        <f>'Raw Counts'!AX33</f>
        <v>6125.8806050672574</v>
      </c>
      <c r="AY33">
        <f>'Raw Counts'!AY33</f>
        <v>109835.30850120191</v>
      </c>
      <c r="AZ33">
        <f>'Raw Counts'!AZ33</f>
        <v>145491.78598222369</v>
      </c>
      <c r="BA33">
        <f>'Raw Counts'!BA33</f>
        <v>15629.960487986593</v>
      </c>
      <c r="BB33">
        <f>'Raw Counts'!BB33</f>
        <v>9724.8501082222338</v>
      </c>
      <c r="BC33">
        <f>'Raw Counts'!BC33</f>
        <v>6438.596650313395</v>
      </c>
      <c r="BD33">
        <f>'Raw Counts'!BD33</f>
        <v>96643.444634849438</v>
      </c>
      <c r="BE33">
        <f>'Raw Counts'!BE33</f>
        <v>147613.28006033591</v>
      </c>
      <c r="BF33">
        <f>'Raw Counts'!BF33</f>
        <v>14571.954122795198</v>
      </c>
      <c r="BG33">
        <f>'Raw Counts'!BG33</f>
        <v>9447.4747376719461</v>
      </c>
      <c r="BH33">
        <f>'Raw Counts'!BH33</f>
        <v>6156.1090194744083</v>
      </c>
      <c r="BI33">
        <f>'Raw Counts'!BI33</f>
        <v>95931.766672267477</v>
      </c>
      <c r="BJ33">
        <f>'Raw Counts'!BJ33</f>
        <v>146137.48058600255</v>
      </c>
      <c r="BK33">
        <f>'Raw Counts'!BK33</f>
        <v>13724.796442708579</v>
      </c>
      <c r="BL33">
        <f>'Raw Counts'!BL33</f>
        <v>9485.013811356368</v>
      </c>
      <c r="BM33">
        <f>'Raw Counts'!BM33</f>
        <v>6026.8564338459537</v>
      </c>
      <c r="BN33">
        <f>'Raw Counts'!BN33</f>
        <v>113969.36131121271</v>
      </c>
      <c r="BO33">
        <f>'Raw Counts'!BO33</f>
        <v>149369.89762829343</v>
      </c>
      <c r="BP33">
        <f>'Raw Counts'!BP33</f>
        <v>15330.490869202958</v>
      </c>
      <c r="BQ33">
        <f>'Raw Counts'!BQ33</f>
        <v>9718.5934200687661</v>
      </c>
      <c r="BR33">
        <f>'Raw Counts'!BR33</f>
        <v>6439.6393886919204</v>
      </c>
    </row>
    <row r="34" spans="1:70" x14ac:dyDescent="0.15">
      <c r="A34">
        <f>'Raw Counts'!A34</f>
        <v>101844.78493137282</v>
      </c>
      <c r="B34">
        <f>'Raw Counts'!B34</f>
        <v>136553.94173573927</v>
      </c>
      <c r="C34">
        <f>'Raw Counts'!C34</f>
        <v>14805.661511189235</v>
      </c>
      <c r="D34">
        <f>'Raw Counts'!D34</f>
        <v>9356.7559497165821</v>
      </c>
      <c r="E34">
        <f>'Raw Counts'!E34</f>
        <v>6041.4491174283776</v>
      </c>
      <c r="F34">
        <f>'Raw Counts'!F34</f>
        <v>111112.25557707949</v>
      </c>
      <c r="G34">
        <f>'Raw Counts'!G34</f>
        <v>143644.78866448475</v>
      </c>
      <c r="H34">
        <f>'Raw Counts'!H34</f>
        <v>15036.249743974395</v>
      </c>
      <c r="I34">
        <f>'Raw Counts'!I34</f>
        <v>9663.3265287992326</v>
      </c>
      <c r="J34">
        <f>'Raw Counts'!J34</f>
        <v>6268.6859307395271</v>
      </c>
      <c r="K34">
        <f>'Raw Counts'!K34</f>
        <v>121706.66733453069</v>
      </c>
      <c r="L34">
        <f>'Raw Counts'!L34</f>
        <v>142658.55008095171</v>
      </c>
      <c r="M34">
        <f>'Raw Counts'!M34</f>
        <v>16150.66004010158</v>
      </c>
      <c r="N34">
        <f>'Raw Counts'!N34</f>
        <v>9523.5961323418796</v>
      </c>
      <c r="O34">
        <f>'Raw Counts'!O34</f>
        <v>6258.2627512097342</v>
      </c>
      <c r="P34">
        <f>'Raw Counts'!P34</f>
        <v>82395.329647456994</v>
      </c>
      <c r="Q34">
        <f>'Raw Counts'!Q34</f>
        <v>138013.35623623917</v>
      </c>
      <c r="R34">
        <f>'Raw Counts'!R34</f>
        <v>11597.875730621738</v>
      </c>
      <c r="S34">
        <f>'Raw Counts'!S34</f>
        <v>8848.9556730526638</v>
      </c>
      <c r="T34">
        <f>'Raw Counts'!T34</f>
        <v>5924.7053027906813</v>
      </c>
      <c r="U34">
        <f>'Raw Counts'!U34</f>
        <v>85702.883487402869</v>
      </c>
      <c r="V34">
        <f>'Raw Counts'!V34</f>
        <v>138383.45037166448</v>
      </c>
      <c r="W34">
        <f>'Raw Counts'!W34</f>
        <v>12173.628119095429</v>
      </c>
      <c r="X34">
        <f>'Raw Counts'!X34</f>
        <v>9066.8793293530725</v>
      </c>
      <c r="Y34">
        <f>'Raw Counts'!Y34</f>
        <v>5663.0806018363046</v>
      </c>
      <c r="Z34">
        <f>'Raw Counts'!Z34</f>
        <v>90378.20734168432</v>
      </c>
      <c r="AA34">
        <f>'Raw Counts'!AA34</f>
        <v>140221.96105140023</v>
      </c>
      <c r="AB34">
        <f>'Raw Counts'!AB34</f>
        <v>13831.207625764133</v>
      </c>
      <c r="AC34">
        <f>'Raw Counts'!AC34</f>
        <v>9742.578082095848</v>
      </c>
      <c r="AD34">
        <f>'Raw Counts'!AD34</f>
        <v>6198.8470535344086</v>
      </c>
      <c r="AE34">
        <f>'Raw Counts'!AE34</f>
        <v>108617.64412054223</v>
      </c>
      <c r="AF34">
        <f>'Raw Counts'!AF34</f>
        <v>140099.17894774099</v>
      </c>
      <c r="AG34">
        <f>'Raw Counts'!AG34</f>
        <v>15544.393870659724</v>
      </c>
      <c r="AH34">
        <f>'Raw Counts'!AH34</f>
        <v>9502.7403163668005</v>
      </c>
      <c r="AI34">
        <f>'Raw Counts'!AI34</f>
        <v>6398.9856897242253</v>
      </c>
      <c r="AJ34">
        <f>'Raw Counts'!AJ34</f>
        <v>99787.696914237938</v>
      </c>
      <c r="AK34">
        <f>'Raw Counts'!AK34</f>
        <v>140855.60004121737</v>
      </c>
      <c r="AL34">
        <f>'Raw Counts'!AL34</f>
        <v>14241.22031216707</v>
      </c>
      <c r="AM34">
        <f>'Raw Counts'!AM34</f>
        <v>9570.5203916897117</v>
      </c>
      <c r="AN34">
        <f>'Raw Counts'!AN34</f>
        <v>6317.678837279208</v>
      </c>
      <c r="AO34">
        <f>'Raw Counts'!AO34</f>
        <v>97655.254031182296</v>
      </c>
      <c r="AP34">
        <f>'Raw Counts'!AP34</f>
        <v>140772.01281140934</v>
      </c>
      <c r="AQ34">
        <f>'Raw Counts'!AQ34</f>
        <v>15159.3640798957</v>
      </c>
      <c r="AR34">
        <f>'Raw Counts'!AR34</f>
        <v>9734.2351485284307</v>
      </c>
      <c r="AS34">
        <f>'Raw Counts'!AS34</f>
        <v>6222.8214284343567</v>
      </c>
      <c r="AT34">
        <f>'Raw Counts'!AT34</f>
        <v>94006.523027032556</v>
      </c>
      <c r="AU34">
        <f>'Raw Counts'!AU34</f>
        <v>141099.96761914977</v>
      </c>
      <c r="AV34">
        <f>'Raw Counts'!AV34</f>
        <v>14777.485695038678</v>
      </c>
      <c r="AW34">
        <f>'Raw Counts'!AW34</f>
        <v>9350.499514959969</v>
      </c>
      <c r="AX34">
        <f>'Raw Counts'!AX34</f>
        <v>6194.6772119140596</v>
      </c>
      <c r="AY34">
        <f>'Raw Counts'!AY34</f>
        <v>112367.20977005179</v>
      </c>
      <c r="AZ34">
        <f>'Raw Counts'!AZ34</f>
        <v>147202.4590206632</v>
      </c>
      <c r="BA34">
        <f>'Raw Counts'!BA34</f>
        <v>15960.734830185729</v>
      </c>
      <c r="BB34">
        <f>'Raw Counts'!BB34</f>
        <v>9686.2679339366277</v>
      </c>
      <c r="BC34">
        <f>'Raw Counts'!BC34</f>
        <v>6419.8333841940421</v>
      </c>
      <c r="BD34">
        <f>'Raw Counts'!BD34</f>
        <v>94292.816525640606</v>
      </c>
      <c r="BE34">
        <f>'Raw Counts'!BE34</f>
        <v>147024.59819741928</v>
      </c>
      <c r="BF34">
        <f>'Raw Counts'!BF34</f>
        <v>13920.934503616934</v>
      </c>
      <c r="BG34">
        <f>'Raw Counts'!BG34</f>
        <v>9320.2604746925117</v>
      </c>
      <c r="BH34">
        <f>'Raw Counts'!BH34</f>
        <v>5921.5782658812668</v>
      </c>
      <c r="BI34">
        <f>'Raw Counts'!BI34</f>
        <v>95762.276760116001</v>
      </c>
      <c r="BJ34">
        <f>'Raw Counts'!BJ34</f>
        <v>145563.73078795322</v>
      </c>
      <c r="BK34">
        <f>'Raw Counts'!BK34</f>
        <v>13658.035954455328</v>
      </c>
      <c r="BL34">
        <f>'Raw Counts'!BL34</f>
        <v>9427.6621776141546</v>
      </c>
      <c r="BM34">
        <f>'Raw Counts'!BM34</f>
        <v>6056.0418244388775</v>
      </c>
      <c r="BN34">
        <f>'Raw Counts'!BN34</f>
        <v>111480.2400297617</v>
      </c>
      <c r="BO34">
        <f>'Raw Counts'!BO34</f>
        <v>149121.03715162294</v>
      </c>
      <c r="BP34">
        <f>'Raw Counts'!BP34</f>
        <v>15165.624514986561</v>
      </c>
      <c r="BQ34">
        <f>'Raw Counts'!BQ34</f>
        <v>9762.390327594876</v>
      </c>
      <c r="BR34">
        <f>'Raw Counts'!BR34</f>
        <v>6529.2863159289009</v>
      </c>
    </row>
    <row r="35" spans="1:70" x14ac:dyDescent="0.15">
      <c r="A35">
        <f>'Raw Counts'!A35</f>
        <v>102506.38964896342</v>
      </c>
      <c r="B35">
        <f>'Raw Counts'!B35</f>
        <v>136872.20095125321</v>
      </c>
      <c r="C35">
        <f>'Raw Counts'!C35</f>
        <v>14686.71869363248</v>
      </c>
      <c r="D35">
        <f>'Raw Counts'!D35</f>
        <v>9328.6020272280057</v>
      </c>
      <c r="E35">
        <f>'Raw Counts'!E35</f>
        <v>6067.5084684312669</v>
      </c>
      <c r="F35">
        <f>'Raw Counts'!F35</f>
        <v>110450.02243571698</v>
      </c>
      <c r="G35">
        <f>'Raw Counts'!G35</f>
        <v>144235.3844705245</v>
      </c>
      <c r="H35">
        <f>'Raw Counts'!H35</f>
        <v>15562.134202401612</v>
      </c>
      <c r="I35">
        <f>'Raw Counts'!I35</f>
        <v>9783.2467394106225</v>
      </c>
      <c r="J35">
        <f>'Raw Counts'!J35</f>
        <v>6188.4229534107553</v>
      </c>
      <c r="K35">
        <f>'Raw Counts'!K35</f>
        <v>121353.97600835765</v>
      </c>
      <c r="L35">
        <f>'Raw Counts'!L35</f>
        <v>143197.1685120225</v>
      </c>
      <c r="M35">
        <f>'Raw Counts'!M35</f>
        <v>15997.258986018023</v>
      </c>
      <c r="N35">
        <f>'Raw Counts'!N35</f>
        <v>9541.3227126044931</v>
      </c>
      <c r="O35">
        <f>'Raw Counts'!O35</f>
        <v>6286.4071646170032</v>
      </c>
      <c r="P35">
        <f>'Raw Counts'!P35</f>
        <v>83124.858364155181</v>
      </c>
      <c r="Q35">
        <f>'Raw Counts'!Q35</f>
        <v>138620.44040321297</v>
      </c>
      <c r="R35">
        <f>'Raw Counts'!R35</f>
        <v>11508.181798905169</v>
      </c>
      <c r="S35">
        <f>'Raw Counts'!S35</f>
        <v>8870.8520051889172</v>
      </c>
      <c r="T35">
        <f>'Raw Counts'!T35</f>
        <v>5629.7268905235051</v>
      </c>
      <c r="U35">
        <f>'Raw Counts'!U35</f>
        <v>86828.103006766905</v>
      </c>
      <c r="V35">
        <f>'Raw Counts'!V35</f>
        <v>138715.58339018689</v>
      </c>
      <c r="W35">
        <f>'Raw Counts'!W35</f>
        <v>12021.345574222443</v>
      </c>
      <c r="X35">
        <f>'Raw Counts'!X35</f>
        <v>9011.6153999616581</v>
      </c>
      <c r="Y35">
        <f>'Raw Counts'!Y35</f>
        <v>5738.1276502581677</v>
      </c>
      <c r="Z35">
        <f>'Raw Counts'!Z35</f>
        <v>93325.584181039623</v>
      </c>
      <c r="AA35">
        <f>'Raw Counts'!AA35</f>
        <v>141693.54625597797</v>
      </c>
      <c r="AB35">
        <f>'Raw Counts'!AB35</f>
        <v>14456.139329914662</v>
      </c>
      <c r="AC35">
        <f>'Raw Counts'!AC35</f>
        <v>9604.9316691889562</v>
      </c>
      <c r="AD35">
        <f>'Raw Counts'!AD35</f>
        <v>6230.1184249491298</v>
      </c>
      <c r="AE35">
        <f>'Raw Counts'!AE35</f>
        <v>107867.04681872205</v>
      </c>
      <c r="AF35">
        <f>'Raw Counts'!AF35</f>
        <v>141038.62118996118</v>
      </c>
      <c r="AG35">
        <f>'Raw Counts'!AG35</f>
        <v>15173.978446289468</v>
      </c>
      <c r="AH35">
        <f>'Raw Counts'!AH35</f>
        <v>9817.6588223559993</v>
      </c>
      <c r="AI35">
        <f>'Raw Counts'!AI35</f>
        <v>6344.780707048697</v>
      </c>
      <c r="AJ35">
        <f>'Raw Counts'!AJ35</f>
        <v>98681.925800702084</v>
      </c>
      <c r="AK35">
        <f>'Raw Counts'!AK35</f>
        <v>140522.37291989996</v>
      </c>
      <c r="AL35">
        <f>'Raw Counts'!AL35</f>
        <v>13669.503180152475</v>
      </c>
      <c r="AM35">
        <f>'Raw Counts'!AM35</f>
        <v>9527.766500440981</v>
      </c>
      <c r="AN35">
        <f>'Raw Counts'!AN35</f>
        <v>6200.9314747208009</v>
      </c>
      <c r="AO35">
        <f>'Raw Counts'!AO35</f>
        <v>97012.984961754526</v>
      </c>
      <c r="AP35">
        <f>'Raw Counts'!AP35</f>
        <v>141915.79275883475</v>
      </c>
      <c r="AQ35">
        <f>'Raw Counts'!AQ35</f>
        <v>13951.180843592647</v>
      </c>
      <c r="AR35">
        <f>'Raw Counts'!AR35</f>
        <v>9742.578082095848</v>
      </c>
      <c r="AS35">
        <f>'Raw Counts'!AS35</f>
        <v>6200.9314747208009</v>
      </c>
      <c r="AT35">
        <f>'Raw Counts'!AT35</f>
        <v>92802.540266179683</v>
      </c>
      <c r="AU35">
        <f>'Raw Counts'!AU35</f>
        <v>140309.707098288</v>
      </c>
      <c r="AV35">
        <f>'Raw Counts'!AV35</f>
        <v>14350.762472132923</v>
      </c>
      <c r="AW35">
        <f>'Raw Counts'!AW35</f>
        <v>9739.4497313786378</v>
      </c>
      <c r="AX35">
        <f>'Raw Counts'!AX35</f>
        <v>6164.4486692410637</v>
      </c>
      <c r="AY35">
        <f>'Raw Counts'!AY35</f>
        <v>111213.48777441106</v>
      </c>
      <c r="AZ35">
        <f>'Raw Counts'!AZ35</f>
        <v>146249.67395673235</v>
      </c>
      <c r="BA35">
        <f>'Raw Counts'!BA35</f>
        <v>15273.104337268935</v>
      </c>
      <c r="BB35">
        <f>'Raw Counts'!BB35</f>
        <v>9568.4341965386811</v>
      </c>
      <c r="BC35">
        <f>'Raw Counts'!BC35</f>
        <v>6373.9681191985501</v>
      </c>
      <c r="BD35">
        <f>'Raw Counts'!BD35</f>
        <v>97179.344679370304</v>
      </c>
      <c r="BE35">
        <f>'Raw Counts'!BE35</f>
        <v>149096.63943386904</v>
      </c>
      <c r="BF35">
        <f>'Raw Counts'!BF35</f>
        <v>13926.142475510904</v>
      </c>
      <c r="BG35">
        <f>'Raw Counts'!BG35</f>
        <v>9471.4576831814647</v>
      </c>
      <c r="BH35">
        <f>'Raw Counts'!BH35</f>
        <v>6123.7962010919082</v>
      </c>
      <c r="BI35">
        <f>'Raw Counts'!BI35</f>
        <v>95361.207384156718</v>
      </c>
      <c r="BJ35">
        <f>'Raw Counts'!BJ35</f>
        <v>146078.13248108202</v>
      </c>
      <c r="BK35">
        <f>'Raw Counts'!BK35</f>
        <v>13820.781778556329</v>
      </c>
      <c r="BL35">
        <f>'Raw Counts'!BL35</f>
        <v>9276.4656976986207</v>
      </c>
      <c r="BM35">
        <f>'Raw Counts'!BM35</f>
        <v>6130.0504151265914</v>
      </c>
      <c r="BN35">
        <f>'Raw Counts'!BN35</f>
        <v>113784.759737496</v>
      </c>
      <c r="BO35">
        <f>'Raw Counts'!BO35</f>
        <v>148950.55947416995</v>
      </c>
      <c r="BP35">
        <f>'Raw Counts'!BP35</f>
        <v>15274.146086408166</v>
      </c>
      <c r="BQ35">
        <f>'Raw Counts'!BQ35</f>
        <v>9809.3158198663841</v>
      </c>
      <c r="BR35">
        <f>'Raw Counts'!BR35</f>
        <v>6413.5789707617023</v>
      </c>
    </row>
    <row r="36" spans="1:70" x14ac:dyDescent="0.15">
      <c r="A36">
        <f>'Raw Counts'!A36</f>
        <v>99271.650240841249</v>
      </c>
      <c r="B36">
        <f>'Raw Counts'!B36</f>
        <v>137260.31974897673</v>
      </c>
      <c r="C36">
        <f>'Raw Counts'!C36</f>
        <v>13785.307948057278</v>
      </c>
      <c r="D36">
        <f>'Raw Counts'!D36</f>
        <v>9400.5511136047771</v>
      </c>
      <c r="E36">
        <f>'Raw Counts'!E36</f>
        <v>6101.9064858595266</v>
      </c>
      <c r="F36">
        <f>'Raw Counts'!F36</f>
        <v>111567.80936994603</v>
      </c>
      <c r="G36">
        <f>'Raw Counts'!G36</f>
        <v>144415.32420509137</v>
      </c>
      <c r="H36">
        <f>'Raw Counts'!H36</f>
        <v>15073.811910310786</v>
      </c>
      <c r="I36">
        <f>'Raw Counts'!I36</f>
        <v>9854.1562947721814</v>
      </c>
      <c r="J36">
        <f>'Raw Counts'!J36</f>
        <v>6229.0757106068013</v>
      </c>
      <c r="K36">
        <f>'Raw Counts'!K36</f>
        <v>123875.31127869016</v>
      </c>
      <c r="L36">
        <f>'Raw Counts'!L36</f>
        <v>143684.00473886219</v>
      </c>
      <c r="M36">
        <f>'Raw Counts'!M36</f>
        <v>15868.914191643196</v>
      </c>
      <c r="N36">
        <f>'Raw Counts'!N36</f>
        <v>9535.0661507933019</v>
      </c>
      <c r="O36">
        <f>'Raw Counts'!O36</f>
        <v>6273.8985256770939</v>
      </c>
      <c r="P36">
        <f>'Raw Counts'!P36</f>
        <v>84901.641637345732</v>
      </c>
      <c r="Q36">
        <f>'Raw Counts'!Q36</f>
        <v>138061.99051460531</v>
      </c>
      <c r="R36">
        <f>'Raw Counts'!R36</f>
        <v>11865.931491731961</v>
      </c>
      <c r="S36">
        <f>'Raw Counts'!S36</f>
        <v>8841.6575747120933</v>
      </c>
      <c r="T36">
        <f>'Raw Counts'!T36</f>
        <v>5664.1232512512443</v>
      </c>
      <c r="U36">
        <f>'Raw Counts'!U36</f>
        <v>84961.569554957212</v>
      </c>
      <c r="V36">
        <f>'Raw Counts'!V36</f>
        <v>137737.29312068084</v>
      </c>
      <c r="W36">
        <f>'Raw Counts'!W36</f>
        <v>12446.918001260974</v>
      </c>
      <c r="X36">
        <f>'Raw Counts'!X36</f>
        <v>9103.3737869322431</v>
      </c>
      <c r="Y36">
        <f>'Raw Counts'!Y36</f>
        <v>5878.8425361532682</v>
      </c>
      <c r="Z36">
        <f>'Raw Counts'!Z36</f>
        <v>91017.895547545588</v>
      </c>
      <c r="AA36">
        <f>'Raw Counts'!AA36</f>
        <v>141000.53379816632</v>
      </c>
      <c r="AB36">
        <f>'Raw Counts'!AB36</f>
        <v>13848.944613291636</v>
      </c>
      <c r="AC36">
        <f>'Raw Counts'!AC36</f>
        <v>9686.2679339366277</v>
      </c>
      <c r="AD36">
        <f>'Raw Counts'!AD36</f>
        <v>6559.5160719767737</v>
      </c>
      <c r="AE36">
        <f>'Raw Counts'!AE36</f>
        <v>107091.31613891978</v>
      </c>
      <c r="AF36">
        <f>'Raw Counts'!AF36</f>
        <v>140162.65170497255</v>
      </c>
      <c r="AG36">
        <f>'Raw Counts'!AG36</f>
        <v>15912.740749876291</v>
      </c>
      <c r="AH36">
        <f>'Raw Counts'!AH36</f>
        <v>9800.9738261143775</v>
      </c>
      <c r="AI36">
        <f>'Raw Counts'!AI36</f>
        <v>6197.8043427794928</v>
      </c>
      <c r="AJ36">
        <f>'Raw Counts'!AJ36</f>
        <v>98176.475350253415</v>
      </c>
      <c r="AK36">
        <f>'Raw Counts'!AK36</f>
        <v>140912.78105719856</v>
      </c>
      <c r="AL36">
        <f>'Raw Counts'!AL36</f>
        <v>14210.962991166498</v>
      </c>
      <c r="AM36">
        <f>'Raw Counts'!AM36</f>
        <v>9501.6982275564114</v>
      </c>
      <c r="AN36">
        <f>'Raw Counts'!AN36</f>
        <v>6368.7554668722314</v>
      </c>
      <c r="AO36">
        <f>'Raw Counts'!AO36</f>
        <v>97827.933135310392</v>
      </c>
      <c r="AP36">
        <f>'Raw Counts'!AP36</f>
        <v>141314.78496382671</v>
      </c>
      <c r="AQ36">
        <f>'Raw Counts'!AQ36</f>
        <v>14555.257390749857</v>
      </c>
      <c r="AR36">
        <f>'Raw Counts'!AR36</f>
        <v>9702.9517185293371</v>
      </c>
      <c r="AS36">
        <f>'Raw Counts'!AS36</f>
        <v>6189.4656630895151</v>
      </c>
      <c r="AT36">
        <f>'Raw Counts'!AT36</f>
        <v>91166.256570034864</v>
      </c>
      <c r="AU36">
        <f>'Raw Counts'!AU36</f>
        <v>140476.87379503826</v>
      </c>
      <c r="AV36">
        <f>'Raw Counts'!AV36</f>
        <v>13244.925028654254</v>
      </c>
      <c r="AW36">
        <f>'Raw Counts'!AW36</f>
        <v>9315.046132348396</v>
      </c>
      <c r="AX36">
        <f>'Raw Counts'!AX36</f>
        <v>6119.6263939016917</v>
      </c>
      <c r="AY36">
        <f>'Raw Counts'!AY36</f>
        <v>113223.58594331854</v>
      </c>
      <c r="AZ36">
        <f>'Raw Counts'!AZ36</f>
        <v>146285.64929931471</v>
      </c>
      <c r="BA36">
        <f>'Raw Counts'!BA36</f>
        <v>15597.604952611671</v>
      </c>
      <c r="BB36">
        <f>'Raw Counts'!BB36</f>
        <v>9612.2303804605181</v>
      </c>
      <c r="BC36">
        <f>'Raw Counts'!BC36</f>
        <v>6323.9331847224503</v>
      </c>
      <c r="BD36">
        <f>'Raw Counts'!BD36</f>
        <v>97148.809624299029</v>
      </c>
      <c r="BE36">
        <f>'Raw Counts'!BE36</f>
        <v>148168.05017546794</v>
      </c>
      <c r="BF36">
        <f>'Raw Counts'!BF36</f>
        <v>13820.781778556329</v>
      </c>
      <c r="BG36">
        <f>'Raw Counts'!BG36</f>
        <v>9389.0812649140607</v>
      </c>
      <c r="BH36">
        <f>'Raw Counts'!BH36</f>
        <v>6070.6355555455584</v>
      </c>
      <c r="BI36">
        <f>'Raw Counts'!BI36</f>
        <v>97318.325457998842</v>
      </c>
      <c r="BJ36">
        <f>'Raw Counts'!BJ36</f>
        <v>146338.59632057126</v>
      </c>
      <c r="BK36">
        <f>'Raw Counts'!BK36</f>
        <v>13919.882894269664</v>
      </c>
      <c r="BL36">
        <f>'Raw Counts'!BL36</f>
        <v>9396.3798028450019</v>
      </c>
      <c r="BM36">
        <f>'Raw Counts'!BM36</f>
        <v>6083.1439147610854</v>
      </c>
      <c r="BN36">
        <f>'Raw Counts'!BN36</f>
        <v>113315.32363541861</v>
      </c>
      <c r="BO36">
        <f>'Raw Counts'!BO36</f>
        <v>149532.96187897847</v>
      </c>
      <c r="BP36">
        <f>'Raw Counts'!BP36</f>
        <v>15459.86982948177</v>
      </c>
      <c r="BQ36">
        <f>'Raw Counts'!BQ36</f>
        <v>9685.2248230167042</v>
      </c>
      <c r="BR36">
        <f>'Raw Counts'!BR36</f>
        <v>6454.2327350009482</v>
      </c>
    </row>
    <row r="37" spans="1:70" x14ac:dyDescent="0.15">
      <c r="A37">
        <f>'Raw Counts'!A37</f>
        <v>104495.53987828954</v>
      </c>
      <c r="B37">
        <f>'Raw Counts'!B37</f>
        <v>138277.75116207905</v>
      </c>
      <c r="C37">
        <f>'Raw Counts'!C37</f>
        <v>13966.834866365916</v>
      </c>
      <c r="D37">
        <f>'Raw Counts'!D37</f>
        <v>9445.3895718044078</v>
      </c>
      <c r="E37">
        <f>'Raw Counts'!E37</f>
        <v>5996.6274486280608</v>
      </c>
      <c r="F37">
        <f>'Raw Counts'!F37</f>
        <v>109927.01190245652</v>
      </c>
      <c r="G37">
        <f>'Raw Counts'!G37</f>
        <v>143700.97133144838</v>
      </c>
      <c r="H37">
        <f>'Raw Counts'!H37</f>
        <v>15056.072531873922</v>
      </c>
      <c r="I37">
        <f>'Raw Counts'!I37</f>
        <v>9735.2782650734771</v>
      </c>
      <c r="J37">
        <f>'Raw Counts'!J37</f>
        <v>6333.3147139565399</v>
      </c>
      <c r="K37">
        <f>'Raw Counts'!K37</f>
        <v>122615.62021876939</v>
      </c>
      <c r="L37">
        <f>'Raw Counts'!L37</f>
        <v>143307.2936148101</v>
      </c>
      <c r="M37">
        <f>'Raw Counts'!M37</f>
        <v>15620.564348506008</v>
      </c>
      <c r="N37">
        <f>'Raw Counts'!N37</f>
        <v>9312.9609968634122</v>
      </c>
      <c r="O37">
        <f>'Raw Counts'!O37</f>
        <v>6129.0077122638249</v>
      </c>
      <c r="P37">
        <f>'Raw Counts'!P37</f>
        <v>81198.13398754799</v>
      </c>
      <c r="Q37">
        <f>'Raw Counts'!Q37</f>
        <v>137443.26825126127</v>
      </c>
      <c r="R37">
        <f>'Raw Counts'!R37</f>
        <v>11465.417790124327</v>
      </c>
      <c r="S37">
        <f>'Raw Counts'!S37</f>
        <v>9031.4270530842132</v>
      </c>
      <c r="T37">
        <f>'Raw Counts'!T37</f>
        <v>5769.3974366434131</v>
      </c>
      <c r="U37">
        <f>'Raw Counts'!U37</f>
        <v>84629.321328184538</v>
      </c>
      <c r="V37">
        <f>'Raw Counts'!V37</f>
        <v>138220.58678176222</v>
      </c>
      <c r="W37">
        <f>'Raw Counts'!W37</f>
        <v>12021.345574222443</v>
      </c>
      <c r="X37">
        <f>'Raw Counts'!X37</f>
        <v>9019.9576702194699</v>
      </c>
      <c r="Y37">
        <f>'Raw Counts'!Y37</f>
        <v>5856.9534108256776</v>
      </c>
      <c r="Z37">
        <f>'Raw Counts'!Z37</f>
        <v>93868.653915049203</v>
      </c>
      <c r="AA37">
        <f>'Raw Counts'!AA37</f>
        <v>141732.75388079038</v>
      </c>
      <c r="AB37">
        <f>'Raw Counts'!AB37</f>
        <v>13993.956551228435</v>
      </c>
      <c r="AC37">
        <f>'Raw Counts'!AC37</f>
        <v>9835.3859761809126</v>
      </c>
      <c r="AD37">
        <f>'Raw Counts'!AD37</f>
        <v>6345.823434664635</v>
      </c>
      <c r="AE37">
        <f>'Raw Counts'!AE37</f>
        <v>106660.16972898541</v>
      </c>
      <c r="AF37">
        <f>'Raw Counts'!AF37</f>
        <v>141216.36446983015</v>
      </c>
      <c r="AG37">
        <f>'Raw Counts'!AG37</f>
        <v>14487.439126226873</v>
      </c>
      <c r="AH37">
        <f>'Raw Counts'!AH37</f>
        <v>9807.2305709804768</v>
      </c>
      <c r="AI37">
        <f>'Raw Counts'!AI37</f>
        <v>6503.2256409660404</v>
      </c>
      <c r="AJ37">
        <f>'Raw Counts'!AJ37</f>
        <v>99670.78968019897</v>
      </c>
      <c r="AK37">
        <f>'Raw Counts'!AK37</f>
        <v>142129.51209088427</v>
      </c>
      <c r="AL37">
        <f>'Raw Counts'!AL37</f>
        <v>14844.264424249601</v>
      </c>
      <c r="AM37">
        <f>'Raw Counts'!AM37</f>
        <v>9713.3798502542359</v>
      </c>
      <c r="AN37">
        <f>'Raw Counts'!AN37</f>
        <v>6347.9078895567845</v>
      </c>
      <c r="AO37">
        <f>'Raw Counts'!AO37</f>
        <v>94263.342044015779</v>
      </c>
      <c r="AP37">
        <f>'Raw Counts'!AP37</f>
        <v>141163.44739150521</v>
      </c>
      <c r="AQ37">
        <f>'Raw Counts'!AQ37</f>
        <v>14580.29749229496</v>
      </c>
      <c r="AR37">
        <f>'Raw Counts'!AR37</f>
        <v>9602.8454661390952</v>
      </c>
      <c r="AS37">
        <f>'Raw Counts'!AS37</f>
        <v>6142.5588561062559</v>
      </c>
      <c r="AT37">
        <f>'Raw Counts'!AT37</f>
        <v>95806.490774961698</v>
      </c>
      <c r="AU37">
        <f>'Raw Counts'!AU37</f>
        <v>141991.97540225982</v>
      </c>
      <c r="AV37">
        <f>'Raw Counts'!AV37</f>
        <v>13790.525857408731</v>
      </c>
      <c r="AW37">
        <f>'Raw Counts'!AW37</f>
        <v>9493.3555151053697</v>
      </c>
      <c r="AX37">
        <f>'Raw Counts'!AX37</f>
        <v>6194.6772119140596</v>
      </c>
      <c r="AY37">
        <f>'Raw Counts'!AY37</f>
        <v>111719.66572294802</v>
      </c>
      <c r="AZ37">
        <f>'Raw Counts'!AZ37</f>
        <v>146859.44484715274</v>
      </c>
      <c r="BA37">
        <f>'Raw Counts'!BA37</f>
        <v>15446.306789177826</v>
      </c>
      <c r="BB37">
        <f>'Raw Counts'!BB37</f>
        <v>9616.4017902891173</v>
      </c>
      <c r="BC37">
        <f>'Raw Counts'!BC37</f>
        <v>6219.6942889618967</v>
      </c>
      <c r="BD37">
        <f>'Raw Counts'!BD37</f>
        <v>95626.482972673766</v>
      </c>
      <c r="BE37">
        <f>'Raw Counts'!BE37</f>
        <v>148009.17794235726</v>
      </c>
      <c r="BF37">
        <f>'Raw Counts'!BF37</f>
        <v>14062.812743289602</v>
      </c>
      <c r="BG37">
        <f>'Raw Counts'!BG37</f>
        <v>9326.5168886330393</v>
      </c>
      <c r="BH37">
        <f>'Raw Counts'!BH37</f>
        <v>6194.6772119140596</v>
      </c>
      <c r="BI37">
        <f>'Raw Counts'!BI37</f>
        <v>97607.877274225175</v>
      </c>
      <c r="BJ37">
        <f>'Raw Counts'!BJ37</f>
        <v>146633.92646076868</v>
      </c>
      <c r="BK37">
        <f>'Raw Counts'!BK37</f>
        <v>13983.530517300052</v>
      </c>
      <c r="BL37">
        <f>'Raw Counts'!BL37</f>
        <v>9355.7128766147925</v>
      </c>
      <c r="BM37">
        <f>'Raw Counts'!BM37</f>
        <v>6174.8717411904308</v>
      </c>
      <c r="BN37">
        <f>'Raw Counts'!BN37</f>
        <v>112721.57647529838</v>
      </c>
      <c r="BO37">
        <f>'Raw Counts'!BO37</f>
        <v>150521.06799685955</v>
      </c>
      <c r="BP37">
        <f>'Raw Counts'!BP37</f>
        <v>15887.696976431696</v>
      </c>
      <c r="BQ37">
        <f>'Raw Counts'!BQ37</f>
        <v>9965.7358773034357</v>
      </c>
      <c r="BR37">
        <f>'Raw Counts'!BR37</f>
        <v>6390.6458247625033</v>
      </c>
    </row>
    <row r="38" spans="1:70" x14ac:dyDescent="0.15">
      <c r="A38">
        <f>'Raw Counts'!A38</f>
        <v>105687.45895537702</v>
      </c>
      <c r="B38">
        <f>'Raw Counts'!B38</f>
        <v>138575.96622278032</v>
      </c>
      <c r="C38">
        <f>'Raw Counts'!C38</f>
        <v>14226.607445785317</v>
      </c>
      <c r="D38">
        <f>'Raw Counts'!D38</f>
        <v>9316.0892007829279</v>
      </c>
      <c r="E38">
        <f>'Raw Counts'!E38</f>
        <v>5970.5693014972703</v>
      </c>
      <c r="F38">
        <f>'Raw Counts'!F38</f>
        <v>111271.4943330704</v>
      </c>
      <c r="G38">
        <f>'Raw Counts'!G38</f>
        <v>144902.12432297732</v>
      </c>
      <c r="H38">
        <f>'Raw Counts'!H38</f>
        <v>14838.004210549952</v>
      </c>
      <c r="I38">
        <f>'Raw Counts'!I38</f>
        <v>9565.3059057629725</v>
      </c>
      <c r="J38">
        <f>'Raw Counts'!J38</f>
        <v>6278.0674029504426</v>
      </c>
      <c r="K38">
        <f>'Raw Counts'!K38</f>
        <v>122728.63757235341</v>
      </c>
      <c r="L38">
        <f>'Raw Counts'!L38</f>
        <v>143462.83236543919</v>
      </c>
      <c r="M38">
        <f>'Raw Counts'!M38</f>
        <v>16147.524473790141</v>
      </c>
      <c r="N38">
        <f>'Raw Counts'!N38</f>
        <v>9452.6881549538157</v>
      </c>
      <c r="O38">
        <f>'Raw Counts'!O38</f>
        <v>6371.8826576287865</v>
      </c>
      <c r="P38">
        <f>'Raw Counts'!P38</f>
        <v>82135.688054824699</v>
      </c>
      <c r="Q38">
        <f>'Raw Counts'!Q38</f>
        <v>138144.43585871661</v>
      </c>
      <c r="R38">
        <f>'Raw Counts'!R38</f>
        <v>11635.423687597809</v>
      </c>
      <c r="S38">
        <f>'Raw Counts'!S38</f>
        <v>9145.0826328932872</v>
      </c>
      <c r="T38">
        <f>'Raw Counts'!T38</f>
        <v>5783.9897068922764</v>
      </c>
      <c r="U38">
        <f>'Raw Counts'!U38</f>
        <v>85438.947865662674</v>
      </c>
      <c r="V38">
        <f>'Raw Counts'!V38</f>
        <v>137957.2088451086</v>
      </c>
      <c r="W38">
        <f>'Raw Counts'!W38</f>
        <v>11958.763074601628</v>
      </c>
      <c r="X38">
        <f>'Raw Counts'!X38</f>
        <v>9141.954487831943</v>
      </c>
      <c r="Y38">
        <f>'Raw Counts'!Y38</f>
        <v>5936.1717810979899</v>
      </c>
      <c r="Z38">
        <f>'Raw Counts'!Z38</f>
        <v>92798.327425566167</v>
      </c>
      <c r="AA38">
        <f>'Raw Counts'!AA38</f>
        <v>142176.03531362163</v>
      </c>
      <c r="AB38">
        <f>'Raw Counts'!AB38</f>
        <v>13988.738525067858</v>
      </c>
      <c r="AC38">
        <f>'Raw Counts'!AC38</f>
        <v>9817.6588223559993</v>
      </c>
      <c r="AD38">
        <f>'Raw Counts'!AD38</f>
        <v>6314.5516651714806</v>
      </c>
      <c r="AE38">
        <f>'Raw Counts'!AE38</f>
        <v>108070.55303684372</v>
      </c>
      <c r="AF38">
        <f>'Raw Counts'!AF38</f>
        <v>141479.83721296911</v>
      </c>
      <c r="AG38">
        <f>'Raw Counts'!AG38</f>
        <v>15258.489811454881</v>
      </c>
      <c r="AH38">
        <f>'Raw Counts'!AH38</f>
        <v>9516.2964912019415</v>
      </c>
      <c r="AI38">
        <f>'Raw Counts'!AI38</f>
        <v>6418.7906480876391</v>
      </c>
      <c r="AJ38">
        <f>'Raw Counts'!AJ38</f>
        <v>98557.663249680743</v>
      </c>
      <c r="AK38">
        <f>'Raw Counts'!AK38</f>
        <v>140110.85790167286</v>
      </c>
      <c r="AL38">
        <f>'Raw Counts'!AL38</f>
        <v>14131.669457085964</v>
      </c>
      <c r="AM38">
        <f>'Raw Counts'!AM38</f>
        <v>9640.3851815709804</v>
      </c>
      <c r="AN38">
        <f>'Raw Counts'!AN38</f>
        <v>6353.1195292280081</v>
      </c>
      <c r="AO38">
        <f>'Raw Counts'!AO38</f>
        <v>97959.554767825612</v>
      </c>
      <c r="AP38">
        <f>'Raw Counts'!AP38</f>
        <v>141494.66667002731</v>
      </c>
      <c r="AQ38">
        <f>'Raw Counts'!AQ38</f>
        <v>13993.956551228435</v>
      </c>
      <c r="AR38">
        <f>'Raw Counts'!AR38</f>
        <v>9768.647045899017</v>
      </c>
      <c r="AS38">
        <f>'Raw Counts'!AS38</f>
        <v>6121.7107969208637</v>
      </c>
      <c r="AT38">
        <f>'Raw Counts'!AT38</f>
        <v>92281.627768446357</v>
      </c>
      <c r="AU38">
        <f>'Raw Counts'!AU38</f>
        <v>141141.30559636976</v>
      </c>
      <c r="AV38">
        <f>'Raw Counts'!AV38</f>
        <v>13941.796455152884</v>
      </c>
      <c r="AW38">
        <f>'Raw Counts'!AW38</f>
        <v>9448.5178213050949</v>
      </c>
      <c r="AX38">
        <f>'Raw Counts'!AX38</f>
        <v>6210.3128769999239</v>
      </c>
      <c r="AY38">
        <f>'Raw Counts'!AY38</f>
        <v>112653.03074884147</v>
      </c>
      <c r="AZ38">
        <f>'Raw Counts'!AZ38</f>
        <v>147054.2753033551</v>
      </c>
      <c r="BA38">
        <f>'Raw Counts'!BA38</f>
        <v>15320.053284851863</v>
      </c>
      <c r="BB38">
        <f>'Raw Counts'!BB38</f>
        <v>9714.4229644056268</v>
      </c>
      <c r="BC38">
        <f>'Raw Counts'!BC38</f>
        <v>6150.8974927635381</v>
      </c>
      <c r="BD38">
        <f>'Raw Counts'!BD38</f>
        <v>95206.46182224949</v>
      </c>
      <c r="BE38">
        <f>'Raw Counts'!BE38</f>
        <v>148293.99118185605</v>
      </c>
      <c r="BF38">
        <f>'Raw Counts'!BF38</f>
        <v>13337.760684419904</v>
      </c>
      <c r="BG38">
        <f>'Raw Counts'!BG38</f>
        <v>9552.792753427424</v>
      </c>
      <c r="BH38">
        <f>'Raw Counts'!BH38</f>
        <v>6051.8730489972831</v>
      </c>
      <c r="BI38">
        <f>'Raw Counts'!BI38</f>
        <v>97537.323057699337</v>
      </c>
      <c r="BJ38">
        <f>'Raw Counts'!BJ38</f>
        <v>146642.36170262462</v>
      </c>
      <c r="BK38">
        <f>'Raw Counts'!BK38</f>
        <v>14085.768261753872</v>
      </c>
      <c r="BL38">
        <f>'Raw Counts'!BL38</f>
        <v>9379.6965810157799</v>
      </c>
      <c r="BM38">
        <f>'Raw Counts'!BM38</f>
        <v>6089.3981008238843</v>
      </c>
      <c r="BN38">
        <f>'Raw Counts'!BN38</f>
        <v>112250.06930932906</v>
      </c>
      <c r="BO38">
        <f>'Raw Counts'!BO38</f>
        <v>150373.84666672122</v>
      </c>
      <c r="BP38">
        <f>'Raw Counts'!BP38</f>
        <v>15508.913311077449</v>
      </c>
      <c r="BQ38">
        <f>'Raw Counts'!BQ38</f>
        <v>9736.3213817381529</v>
      </c>
      <c r="BR38">
        <f>'Raw Counts'!BR38</f>
        <v>6456.3172147547903</v>
      </c>
    </row>
    <row r="39" spans="1:70" x14ac:dyDescent="0.15">
      <c r="A39">
        <f>'Raw Counts'!A39</f>
        <v>102758.11956330154</v>
      </c>
      <c r="B39">
        <f>'Raw Counts'!B39</f>
        <v>138107.4775081969</v>
      </c>
      <c r="C39">
        <f>'Raw Counts'!C39</f>
        <v>14521.874034683622</v>
      </c>
      <c r="D39">
        <f>'Raw Counts'!D39</f>
        <v>9408.8927398319411</v>
      </c>
      <c r="E39">
        <f>'Raw Counts'!E39</f>
        <v>6199.8887637267017</v>
      </c>
      <c r="F39">
        <f>'Raw Counts'!F39</f>
        <v>110349.91221984131</v>
      </c>
      <c r="G39">
        <f>'Raw Counts'!G39</f>
        <v>143615.22432691557</v>
      </c>
      <c r="H39">
        <f>'Raw Counts'!H39</f>
        <v>15702.996270164396</v>
      </c>
      <c r="I39">
        <f>'Raw Counts'!I39</f>
        <v>9832.2575935179921</v>
      </c>
      <c r="J39">
        <f>'Raw Counts'!J39</f>
        <v>6299.9575424321538</v>
      </c>
      <c r="K39">
        <f>'Raw Counts'!K39</f>
        <v>120815.64146658825</v>
      </c>
      <c r="L39">
        <f>'Raw Counts'!L39</f>
        <v>142771.81779986128</v>
      </c>
      <c r="M39">
        <f>'Raw Counts'!M39</f>
        <v>15747.863831625737</v>
      </c>
      <c r="N39">
        <f>'Raw Counts'!N39</f>
        <v>9532.9809648298142</v>
      </c>
      <c r="O39">
        <f>'Raw Counts'!O39</f>
        <v>6279.1101229130691</v>
      </c>
      <c r="P39">
        <f>'Raw Counts'!P39</f>
        <v>81698.431276058895</v>
      </c>
      <c r="Q39">
        <f>'Raw Counts'!Q39</f>
        <v>137917.10377885369</v>
      </c>
      <c r="R39">
        <f>'Raw Counts'!R39</f>
        <v>11506.099163987119</v>
      </c>
      <c r="S39">
        <f>'Raw Counts'!S39</f>
        <v>8872.9380402233273</v>
      </c>
      <c r="T39">
        <f>'Raw Counts'!T39</f>
        <v>5826.7259912944201</v>
      </c>
      <c r="U39">
        <f>'Raw Counts'!U39</f>
        <v>85713.402307840501</v>
      </c>
      <c r="V39">
        <f>'Raw Counts'!V39</f>
        <v>139010.66500921015</v>
      </c>
      <c r="W39">
        <f>'Raw Counts'!W39</f>
        <v>11745.985799442175</v>
      </c>
      <c r="X39">
        <f>'Raw Counts'!X39</f>
        <v>9239.9695440632386</v>
      </c>
      <c r="Y39">
        <f>'Raw Counts'!Y39</f>
        <v>5949.7216367945357</v>
      </c>
      <c r="Z39">
        <f>'Raw Counts'!Z39</f>
        <v>93115.094046932209</v>
      </c>
      <c r="AA39">
        <f>'Raw Counts'!AA39</f>
        <v>141704.10995165509</v>
      </c>
      <c r="AB39">
        <f>'Raw Counts'!AB39</f>
        <v>14469.700892424949</v>
      </c>
      <c r="AC39">
        <f>'Raw Counts'!AC39</f>
        <v>9808.2736959034992</v>
      </c>
      <c r="AD39">
        <f>'Raw Counts'!AD39</f>
        <v>6455.2754751732837</v>
      </c>
      <c r="AE39">
        <f>'Raw Counts'!AE39</f>
        <v>109179.54488387892</v>
      </c>
      <c r="AF39">
        <f>'Raw Counts'!AF39</f>
        <v>141611.06859421701</v>
      </c>
      <c r="AG39">
        <f>'Raw Counts'!AG39</f>
        <v>15309.615712489556</v>
      </c>
      <c r="AH39">
        <f>'Raw Counts'!AH39</f>
        <v>9540.2796183201408</v>
      </c>
      <c r="AI39">
        <f>'Raw Counts'!AI39</f>
        <v>6172.7873259801663</v>
      </c>
      <c r="AJ39">
        <f>'Raw Counts'!AJ39</f>
        <v>96828.738491244207</v>
      </c>
      <c r="AK39">
        <f>'Raw Counts'!AK39</f>
        <v>140467.32713267495</v>
      </c>
      <c r="AL39">
        <f>'Raw Counts'!AL39</f>
        <v>13852.0793865675</v>
      </c>
      <c r="AM39">
        <f>'Raw Counts'!AM39</f>
        <v>9724.8501082222338</v>
      </c>
      <c r="AN39">
        <f>'Raw Counts'!AN39</f>
        <v>6268.6859307395271</v>
      </c>
      <c r="AO39">
        <f>'Raw Counts'!AO39</f>
        <v>96184.425812864924</v>
      </c>
      <c r="AP39">
        <f>'Raw Counts'!AP39</f>
        <v>140884.13972164522</v>
      </c>
      <c r="AQ39">
        <f>'Raw Counts'!AQ39</f>
        <v>13869.806399561459</v>
      </c>
      <c r="AR39">
        <f>'Raw Counts'!AR39</f>
        <v>9555.9210398961259</v>
      </c>
      <c r="AS39">
        <f>'Raw Counts'!AS39</f>
        <v>6273.8985256770939</v>
      </c>
      <c r="AT39">
        <f>'Raw Counts'!AT39</f>
        <v>93536.069097942454</v>
      </c>
      <c r="AU39">
        <f>'Raw Counts'!AU39</f>
        <v>140827.0604507369</v>
      </c>
      <c r="AV39">
        <f>'Raw Counts'!AV39</f>
        <v>13776.965308427982</v>
      </c>
      <c r="AW39">
        <f>'Raw Counts'!AW39</f>
        <v>9611.1882790959917</v>
      </c>
      <c r="AX39">
        <f>'Raw Counts'!AX39</f>
        <v>6295.7886551187485</v>
      </c>
      <c r="AY39">
        <f>'Raw Counts'!AY39</f>
        <v>113374.4574744266</v>
      </c>
      <c r="AZ39">
        <f>'Raw Counts'!AZ39</f>
        <v>147727.62619440397</v>
      </c>
      <c r="BA39">
        <f>'Raw Counts'!BA39</f>
        <v>15720.736911544909</v>
      </c>
      <c r="BB39">
        <f>'Raw Counts'!BB39</f>
        <v>9764.4765672675167</v>
      </c>
      <c r="BC39">
        <f>'Raw Counts'!BC39</f>
        <v>6462.5716575957267</v>
      </c>
      <c r="BD39">
        <f>'Raw Counts'!BD39</f>
        <v>96809.7874648</v>
      </c>
      <c r="BE39">
        <f>'Raw Counts'!BE39</f>
        <v>148301.411489505</v>
      </c>
      <c r="BF39">
        <f>'Raw Counts'!BF39</f>
        <v>12480.293735762943</v>
      </c>
      <c r="BG39">
        <f>'Raw Counts'!BG39</f>
        <v>9415.1492147857643</v>
      </c>
      <c r="BH39">
        <f>'Raw Counts'!BH39</f>
        <v>6094.6095922732366</v>
      </c>
      <c r="BI39">
        <f>'Raw Counts'!BI39</f>
        <v>96113.892778776193</v>
      </c>
      <c r="BJ39">
        <f>'Raw Counts'!BJ39</f>
        <v>146505.87435679729</v>
      </c>
      <c r="BK39">
        <f>'Raw Counts'!BK39</f>
        <v>13673.679457210546</v>
      </c>
      <c r="BL39">
        <f>'Raw Counts'!BL39</f>
        <v>9448.5178213050949</v>
      </c>
      <c r="BM39">
        <f>'Raw Counts'!BM39</f>
        <v>6085.2283094139502</v>
      </c>
      <c r="BN39">
        <f>'Raw Counts'!BN39</f>
        <v>114831.15510788911</v>
      </c>
      <c r="BO39">
        <f>'Raw Counts'!BO39</f>
        <v>150665.03813228876</v>
      </c>
      <c r="BP39">
        <f>'Raw Counts'!BP39</f>
        <v>14926.68930410945</v>
      </c>
      <c r="BQ39">
        <f>'Raw Counts'!BQ39</f>
        <v>9882.3118453460011</v>
      </c>
      <c r="BR39">
        <f>'Raw Counts'!BR39</f>
        <v>6486.5477288313632</v>
      </c>
    </row>
    <row r="40" spans="1:70" x14ac:dyDescent="0.15">
      <c r="A40">
        <f>'Raw Counts'!A40</f>
        <v>103147.91523183028</v>
      </c>
      <c r="B40">
        <f>'Raw Counts'!B40</f>
        <v>138029.19534623498</v>
      </c>
      <c r="C40">
        <f>'Raw Counts'!C40</f>
        <v>14179.664147114765</v>
      </c>
      <c r="D40">
        <f>'Raw Counts'!D40</f>
        <v>9434.9617475659579</v>
      </c>
      <c r="E40">
        <f>'Raw Counts'!E40</f>
        <v>6165.4903754910183</v>
      </c>
      <c r="F40">
        <f>'Raw Counts'!F40</f>
        <v>108748.40033806996</v>
      </c>
      <c r="G40">
        <f>'Raw Counts'!G40</f>
        <v>143583.42499253762</v>
      </c>
      <c r="H40">
        <f>'Raw Counts'!H40</f>
        <v>14710.717472755681</v>
      </c>
      <c r="I40">
        <f>'Raw Counts'!I40</f>
        <v>9587.2039638055467</v>
      </c>
      <c r="J40">
        <f>'Raw Counts'!J40</f>
        <v>6405.2400931148259</v>
      </c>
      <c r="K40">
        <f>'Raw Counts'!K40</f>
        <v>120559.15333323344</v>
      </c>
      <c r="L40">
        <f>'Raw Counts'!L40</f>
        <v>142771.81779986128</v>
      </c>
      <c r="M40">
        <f>'Raw Counts'!M40</f>
        <v>16351.017958372833</v>
      </c>
      <c r="N40">
        <f>'Raw Counts'!N40</f>
        <v>9470.4155979579646</v>
      </c>
      <c r="O40">
        <f>'Raw Counts'!O40</f>
        <v>6385.4341635743576</v>
      </c>
      <c r="P40">
        <f>'Raw Counts'!P40</f>
        <v>83984.825158258755</v>
      </c>
      <c r="Q40">
        <f>'Raw Counts'!Q40</f>
        <v>139497.27620920606</v>
      </c>
      <c r="R40">
        <f>'Raw Counts'!R40</f>
        <v>11578.060484663609</v>
      </c>
      <c r="S40">
        <f>'Raw Counts'!S40</f>
        <v>8851.0417030613899</v>
      </c>
      <c r="T40">
        <f>'Raw Counts'!T40</f>
        <v>5643.2762894034067</v>
      </c>
      <c r="U40">
        <f>'Raw Counts'!U40</f>
        <v>85862.716361619925</v>
      </c>
      <c r="V40">
        <f>'Raw Counts'!V40</f>
        <v>139111.19397814191</v>
      </c>
      <c r="W40">
        <f>'Raw Counts'!W40</f>
        <v>12247.687543577898</v>
      </c>
      <c r="X40">
        <f>'Raw Counts'!X40</f>
        <v>9054.3668632316439</v>
      </c>
      <c r="Y40">
        <f>'Raw Counts'!Y40</f>
        <v>5745.4242576701445</v>
      </c>
      <c r="Z40">
        <f>'Raw Counts'!Z40</f>
        <v>92712.030291465679</v>
      </c>
      <c r="AA40">
        <f>'Raw Counts'!AA40</f>
        <v>142910.38220969925</v>
      </c>
      <c r="AB40">
        <f>'Raw Counts'!AB40</f>
        <v>14149.407031071045</v>
      </c>
      <c r="AC40">
        <f>'Raw Counts'!AC40</f>
        <v>9967.8221636542767</v>
      </c>
      <c r="AD40">
        <f>'Raw Counts'!AD40</f>
        <v>6346.8651617017176</v>
      </c>
      <c r="AE40">
        <f>'Raw Counts'!AE40</f>
        <v>106564.24977746718</v>
      </c>
      <c r="AF40">
        <f>'Raw Counts'!AF40</f>
        <v>140439.80436453837</v>
      </c>
      <c r="AG40">
        <f>'Raw Counts'!AG40</f>
        <v>15586.135293581401</v>
      </c>
      <c r="AH40">
        <f>'Raw Counts'!AH40</f>
        <v>9681.0533815997842</v>
      </c>
      <c r="AI40">
        <f>'Raw Counts'!AI40</f>
        <v>6261.3899039514581</v>
      </c>
      <c r="AJ40">
        <f>'Raw Counts'!AJ40</f>
        <v>100183.69434162522</v>
      </c>
      <c r="AK40">
        <f>'Raw Counts'!AK40</f>
        <v>140408.11773875853</v>
      </c>
      <c r="AL40">
        <f>'Raw Counts'!AL40</f>
        <v>14276.685906706829</v>
      </c>
      <c r="AM40">
        <f>'Raw Counts'!AM40</f>
        <v>9532.9809648298142</v>
      </c>
      <c r="AN40">
        <f>'Raw Counts'!AN40</f>
        <v>6264.5170577690096</v>
      </c>
      <c r="AO40">
        <f>'Raw Counts'!AO40</f>
        <v>95253.836138118175</v>
      </c>
      <c r="AP40">
        <f>'Raw Counts'!AP40</f>
        <v>140836.6074923448</v>
      </c>
      <c r="AQ40">
        <f>'Raw Counts'!AQ40</f>
        <v>14516.655705379782</v>
      </c>
      <c r="AR40">
        <f>'Raw Counts'!AR40</f>
        <v>9559.0493274416967</v>
      </c>
      <c r="AS40">
        <f>'Raw Counts'!AS40</f>
        <v>6248.8812994399123</v>
      </c>
      <c r="AT40">
        <f>'Raw Counts'!AT40</f>
        <v>92820.432232175968</v>
      </c>
      <c r="AU40">
        <f>'Raw Counts'!AU40</f>
        <v>140873.57698246106</v>
      </c>
      <c r="AV40">
        <f>'Raw Counts'!AV40</f>
        <v>13638.206200933544</v>
      </c>
      <c r="AW40">
        <f>'Raw Counts'!AW40</f>
        <v>9490.227250171678</v>
      </c>
      <c r="AX40">
        <f>'Raw Counts'!AX40</f>
        <v>6244.711434865706</v>
      </c>
      <c r="AY40">
        <f>'Raw Counts'!AY40</f>
        <v>111047.8724878361</v>
      </c>
      <c r="AZ40">
        <f>'Raw Counts'!AZ40</f>
        <v>147406.74919179262</v>
      </c>
      <c r="BA40">
        <f>'Raw Counts'!BA40</f>
        <v>16285.270020506858</v>
      </c>
      <c r="BB40">
        <f>'Raw Counts'!BB40</f>
        <v>9826.0008314225943</v>
      </c>
      <c r="BC40">
        <f>'Raw Counts'!BC40</f>
        <v>6316.6361128920371</v>
      </c>
      <c r="BD40">
        <f>'Raw Counts'!BD40</f>
        <v>97932.181030783278</v>
      </c>
      <c r="BE40">
        <f>'Raw Counts'!BE40</f>
        <v>148640.31256991913</v>
      </c>
      <c r="BF40">
        <f>'Raw Counts'!BF40</f>
        <v>13986.65532160262</v>
      </c>
      <c r="BG40">
        <f>'Raw Counts'!BG40</f>
        <v>9264.995004583634</v>
      </c>
      <c r="BH40">
        <f>'Raw Counts'!BH40</f>
        <v>6212.3973008156818</v>
      </c>
      <c r="BI40">
        <f>'Raw Counts'!BI40</f>
        <v>97316.212934218303</v>
      </c>
      <c r="BJ40">
        <f>'Raw Counts'!BJ40</f>
        <v>147488.26327300019</v>
      </c>
      <c r="BK40">
        <f>'Raw Counts'!BK40</f>
        <v>13780.090041701782</v>
      </c>
      <c r="BL40">
        <f>'Raw Counts'!BL40</f>
        <v>9465.2011694652847</v>
      </c>
      <c r="BM40">
        <f>'Raw Counts'!BM40</f>
        <v>6306.2118776813977</v>
      </c>
      <c r="BN40">
        <f>'Raw Counts'!BN40</f>
        <v>114352.24688684956</v>
      </c>
      <c r="BO40">
        <f>'Raw Counts'!BO40</f>
        <v>149991.46874711561</v>
      </c>
      <c r="BP40">
        <f>'Raw Counts'!BP40</f>
        <v>15424.399616908411</v>
      </c>
      <c r="BQ40">
        <f>'Raw Counts'!BQ40</f>
        <v>9713.3798502542359</v>
      </c>
      <c r="BR40">
        <f>'Raw Counts'!BR40</f>
        <v>6351.0350731407261</v>
      </c>
    </row>
    <row r="41" spans="1:70" x14ac:dyDescent="0.15">
      <c r="A41">
        <f>'Raw Counts'!A41</f>
        <v>103230.14463747118</v>
      </c>
      <c r="B41">
        <f>'Raw Counts'!B41</f>
        <v>137183.06014287876</v>
      </c>
      <c r="C41">
        <f>'Raw Counts'!C41</f>
        <v>14190.100421695715</v>
      </c>
      <c r="D41">
        <f>'Raw Counts'!D41</f>
        <v>9397.4228806140927</v>
      </c>
      <c r="E41">
        <f>'Raw Counts'!E41</f>
        <v>6144.6432643843527</v>
      </c>
      <c r="F41">
        <f>'Raw Counts'!F41</f>
        <v>108943.42491974522</v>
      </c>
      <c r="G41">
        <f>'Raw Counts'!G41</f>
        <v>144170.86714186272</v>
      </c>
      <c r="H41">
        <f>'Raw Counts'!H41</f>
        <v>14735.758002678695</v>
      </c>
      <c r="I41">
        <f>'Raw Counts'!I41</f>
        <v>9744.6633161480386</v>
      </c>
      <c r="J41">
        <f>'Raw Counts'!J41</f>
        <v>6265.558775487616</v>
      </c>
      <c r="K41">
        <f>'Raw Counts'!K41</f>
        <v>122794.11732985028</v>
      </c>
      <c r="L41">
        <f>'Raw Counts'!L41</f>
        <v>143021.51971298771</v>
      </c>
      <c r="M41">
        <f>'Raw Counts'!M41</f>
        <v>16356.237341184269</v>
      </c>
      <c r="N41">
        <f>'Raw Counts'!N41</f>
        <v>9817.6588223559993</v>
      </c>
      <c r="O41">
        <f>'Raw Counts'!O41</f>
        <v>6388.5613600692877</v>
      </c>
      <c r="P41">
        <f>'Raw Counts'!P41</f>
        <v>82408.993075866732</v>
      </c>
      <c r="Q41">
        <f>'Raw Counts'!Q41</f>
        <v>138982.13123246626</v>
      </c>
      <c r="R41">
        <f>'Raw Counts'!R41</f>
        <v>11336.095685690687</v>
      </c>
      <c r="S41">
        <f>'Raw Counts'!S41</f>
        <v>8919.8589403492333</v>
      </c>
      <c r="T41">
        <f>'Raw Counts'!T41</f>
        <v>5839.2340148593667</v>
      </c>
      <c r="U41">
        <f>'Raw Counts'!U41</f>
        <v>84306.542668075796</v>
      </c>
      <c r="V41">
        <f>'Raw Counts'!V41</f>
        <v>138827.68484108514</v>
      </c>
      <c r="W41">
        <f>'Raw Counts'!W41</f>
        <v>12293.589469279941</v>
      </c>
      <c r="X41">
        <f>'Raw Counts'!X41</f>
        <v>9039.7683405318367</v>
      </c>
      <c r="Y41">
        <f>'Raw Counts'!Y41</f>
        <v>5856.9534108256776</v>
      </c>
      <c r="Z41">
        <f>'Raw Counts'!Z41</f>
        <v>91776.533972164354</v>
      </c>
      <c r="AA41">
        <f>'Raw Counts'!AA41</f>
        <v>142840.59180569515</v>
      </c>
      <c r="AB41">
        <f>'Raw Counts'!AB41</f>
        <v>13821.823361216988</v>
      </c>
      <c r="AC41">
        <f>'Raw Counts'!AC41</f>
        <v>9764.4765672675167</v>
      </c>
      <c r="AD41">
        <f>'Raw Counts'!AD41</f>
        <v>6274.9402444709067</v>
      </c>
      <c r="AE41">
        <f>'Raw Counts'!AE41</f>
        <v>108140.07609879864</v>
      </c>
      <c r="AF41">
        <f>'Raw Counts'!AF41</f>
        <v>141447.02966481296</v>
      </c>
      <c r="AG41">
        <f>'Raw Counts'!AG41</f>
        <v>15501.610864141549</v>
      </c>
      <c r="AH41">
        <f>'Raw Counts'!AH41</f>
        <v>9798.8885791424709</v>
      </c>
      <c r="AI41">
        <f>'Raw Counts'!AI41</f>
        <v>6172.7873259801663</v>
      </c>
      <c r="AJ41">
        <f>'Raw Counts'!AJ41</f>
        <v>97567.859421271103</v>
      </c>
      <c r="AK41">
        <f>'Raw Counts'!AK41</f>
        <v>141598.37197655524</v>
      </c>
      <c r="AL41">
        <f>'Raw Counts'!AL41</f>
        <v>13882.325497368358</v>
      </c>
      <c r="AM41">
        <f>'Raw Counts'!AM41</f>
        <v>9508.9968559248209</v>
      </c>
      <c r="AN41">
        <f>'Raw Counts'!AN41</f>
        <v>6338.5263452603294</v>
      </c>
      <c r="AO41">
        <f>'Raw Counts'!AO41</f>
        <v>94968.573335371606</v>
      </c>
      <c r="AP41">
        <f>'Raw Counts'!AP41</f>
        <v>140648.20762749069</v>
      </c>
      <c r="AQ41">
        <f>'Raw Counts'!AQ41</f>
        <v>14020.03671153759</v>
      </c>
      <c r="AR41">
        <f>'Raw Counts'!AR41</f>
        <v>9731.1068006828791</v>
      </c>
      <c r="AS41">
        <f>'Raw Counts'!AS41</f>
        <v>6175.9144493145559</v>
      </c>
      <c r="AT41">
        <f>'Raw Counts'!AT41</f>
        <v>92432.110751892469</v>
      </c>
      <c r="AU41">
        <f>'Raw Counts'!AU41</f>
        <v>141524.22408496006</v>
      </c>
      <c r="AV41">
        <f>'Raw Counts'!AV41</f>
        <v>13079.055009249918</v>
      </c>
      <c r="AW41">
        <f>'Raw Counts'!AW41</f>
        <v>9486.0568992978951</v>
      </c>
      <c r="AX41">
        <f>'Raw Counts'!AX41</f>
        <v>6175.9144493145559</v>
      </c>
      <c r="AY41">
        <f>'Raw Counts'!AY41</f>
        <v>110193.82751703379</v>
      </c>
      <c r="AZ41">
        <f>'Raw Counts'!AZ41</f>
        <v>147181.31880842298</v>
      </c>
      <c r="BA41">
        <f>'Raw Counts'!BA41</f>
        <v>15553.779914251356</v>
      </c>
      <c r="BB41">
        <f>'Raw Counts'!BB41</f>
        <v>9830.1723393682805</v>
      </c>
      <c r="BC41">
        <f>'Raw Counts'!BC41</f>
        <v>6400.0274228542394</v>
      </c>
      <c r="BD41">
        <f>'Raw Counts'!BD41</f>
        <v>94561.213522772334</v>
      </c>
      <c r="BE41">
        <f>'Raw Counts'!BE41</f>
        <v>148306.69719181422</v>
      </c>
      <c r="BF41">
        <f>'Raw Counts'!BF41</f>
        <v>13289.780455244092</v>
      </c>
      <c r="BG41">
        <f>'Raw Counts'!BG41</f>
        <v>9230.5850141333685</v>
      </c>
      <c r="BH41">
        <f>'Raw Counts'!BH41</f>
        <v>6067.5084684312669</v>
      </c>
      <c r="BI41">
        <f>'Raw Counts'!BI41</f>
        <v>101616.23811790602</v>
      </c>
      <c r="BJ41">
        <f>'Raw Counts'!BJ41</f>
        <v>148463.43999744847</v>
      </c>
      <c r="BK41">
        <f>'Raw Counts'!BK41</f>
        <v>13755.052145016189</v>
      </c>
      <c r="BL41">
        <f>'Raw Counts'!BL41</f>
        <v>9534.0230572270266</v>
      </c>
      <c r="BM41">
        <f>'Raw Counts'!BM41</f>
        <v>6241.584287862177</v>
      </c>
      <c r="BN41">
        <f>'Raw Counts'!BN41</f>
        <v>114121.25791105753</v>
      </c>
      <c r="BO41">
        <f>'Raw Counts'!BO41</f>
        <v>149630.35452190059</v>
      </c>
      <c r="BP41">
        <f>'Raw Counts'!BP41</f>
        <v>15139.541066673673</v>
      </c>
      <c r="BQ41">
        <f>'Raw Counts'!BQ41</f>
        <v>9756.1336135979509</v>
      </c>
      <c r="BR41">
        <f>'Raw Counts'!BR41</f>
        <v>6563.6860809751606</v>
      </c>
    </row>
    <row r="42" spans="1:70" x14ac:dyDescent="0.15">
      <c r="A42">
        <f>'Raw Counts'!A42</f>
        <v>104063.60653808228</v>
      </c>
      <c r="B42">
        <f>'Raw Counts'!B42</f>
        <v>137092.1971919637</v>
      </c>
      <c r="C42">
        <f>'Raw Counts'!C42</f>
        <v>14148.365410862662</v>
      </c>
      <c r="D42">
        <f>'Raw Counts'!D42</f>
        <v>9370.311906807854</v>
      </c>
      <c r="E42">
        <f>'Raw Counts'!E42</f>
        <v>6199.8887637267017</v>
      </c>
      <c r="F42">
        <f>'Raw Counts'!F42</f>
        <v>110993.1067294643</v>
      </c>
      <c r="G42">
        <f>'Raw Counts'!G42</f>
        <v>143127.37589763233</v>
      </c>
      <c r="H42">
        <f>'Raw Counts'!H42</f>
        <v>14947.563581172757</v>
      </c>
      <c r="I42">
        <f>'Raw Counts'!I42</f>
        <v>9790.5455938835748</v>
      </c>
      <c r="J42">
        <f>'Raw Counts'!J42</f>
        <v>6360.4166303480479</v>
      </c>
      <c r="K42">
        <f>'Raw Counts'!K42</f>
        <v>123735.92266510165</v>
      </c>
      <c r="L42">
        <f>'Raw Counts'!L42</f>
        <v>143788.75109661679</v>
      </c>
      <c r="M42">
        <f>'Raw Counts'!M42</f>
        <v>16610.858704369533</v>
      </c>
      <c r="N42">
        <f>'Raw Counts'!N42</f>
        <v>9513.1682183719931</v>
      </c>
      <c r="O42">
        <f>'Raw Counts'!O42</f>
        <v>6347.9078895567845</v>
      </c>
      <c r="P42">
        <f>'Raw Counts'!P42</f>
        <v>81960.159210628291</v>
      </c>
      <c r="Q42">
        <f>'Raw Counts'!Q42</f>
        <v>138444.88035424886</v>
      </c>
      <c r="R42">
        <f>'Raw Counts'!R42</f>
        <v>11540.512764687634</v>
      </c>
      <c r="S42">
        <f>'Raw Counts'!S42</f>
        <v>9239.9695440632386</v>
      </c>
      <c r="T42">
        <f>'Raw Counts'!T42</f>
        <v>5764.1861316534805</v>
      </c>
      <c r="U42">
        <f>'Raw Counts'!U42</f>
        <v>86089.85691570949</v>
      </c>
      <c r="V42">
        <f>'Raw Counts'!V42</f>
        <v>137665.30893975977</v>
      </c>
      <c r="W42">
        <f>'Raw Counts'!W42</f>
        <v>12031.779370474131</v>
      </c>
      <c r="X42">
        <f>'Raw Counts'!X42</f>
        <v>9038.7263048039913</v>
      </c>
      <c r="Y42">
        <f>'Raw Counts'!Y42</f>
        <v>5997.6701363047641</v>
      </c>
      <c r="Z42">
        <f>'Raw Counts'!Z42</f>
        <v>92687.834508636442</v>
      </c>
      <c r="AA42">
        <f>'Raw Counts'!AA42</f>
        <v>142008.83724729929</v>
      </c>
      <c r="AB42">
        <f>'Raw Counts'!AB42</f>
        <v>13965.793267084098</v>
      </c>
      <c r="AC42">
        <f>'Raw Counts'!AC42</f>
        <v>9553.8358491479285</v>
      </c>
      <c r="AD42">
        <f>'Raw Counts'!AD42</f>
        <v>6417.7489128071384</v>
      </c>
      <c r="AE42">
        <f>'Raw Counts'!AE42</f>
        <v>108226.49997897065</v>
      </c>
      <c r="AF42">
        <f>'Raw Counts'!AF42</f>
        <v>141957.03288357324</v>
      </c>
      <c r="AG42">
        <f>'Raw Counts'!AG42</f>
        <v>14986.16709704771</v>
      </c>
      <c r="AH42">
        <f>'Raw Counts'!AH42</f>
        <v>9762.390327594876</v>
      </c>
      <c r="AI42">
        <f>'Raw Counts'!AI42</f>
        <v>6360.4166303480479</v>
      </c>
      <c r="AJ42">
        <f>'Raw Counts'!AJ42</f>
        <v>100938.9239250167</v>
      </c>
      <c r="AK42">
        <f>'Raw Counts'!AK42</f>
        <v>140398.57114887904</v>
      </c>
      <c r="AL42">
        <f>'Raw Counts'!AL42</f>
        <v>13627.780575149282</v>
      </c>
      <c r="AM42">
        <f>'Raw Counts'!AM42</f>
        <v>9514.2113095447312</v>
      </c>
      <c r="AN42">
        <f>'Raw Counts'!AN42</f>
        <v>6330.1875364692651</v>
      </c>
      <c r="AO42">
        <f>'Raw Counts'!AO42</f>
        <v>95704.379465324397</v>
      </c>
      <c r="AP42">
        <f>'Raw Counts'!AP42</f>
        <v>140585.84864343319</v>
      </c>
      <c r="AQ42">
        <f>'Raw Counts'!AQ42</f>
        <v>14448.837728938935</v>
      </c>
      <c r="AR42">
        <f>'Raw Counts'!AR42</f>
        <v>9576.7769779078099</v>
      </c>
      <c r="AS42">
        <f>'Raw Counts'!AS42</f>
        <v>6400.0274228542394</v>
      </c>
      <c r="AT42">
        <f>'Raw Counts'!AT42</f>
        <v>93087.734931670697</v>
      </c>
      <c r="AU42">
        <f>'Raw Counts'!AU42</f>
        <v>140357.33812096732</v>
      </c>
      <c r="AV42">
        <f>'Raw Counts'!AV42</f>
        <v>13519.278662895404</v>
      </c>
      <c r="AW42">
        <f>'Raw Counts'!AW42</f>
        <v>9221.2004938934915</v>
      </c>
      <c r="AX42">
        <f>'Raw Counts'!AX42</f>
        <v>6204.0586077379858</v>
      </c>
      <c r="AY42">
        <f>'Raw Counts'!AY42</f>
        <v>113419.71942354366</v>
      </c>
      <c r="AZ42">
        <f>'Raw Counts'!AZ42</f>
        <v>147914.95369309551</v>
      </c>
      <c r="BA42">
        <f>'Raw Counts'!BA42</f>
        <v>15827.171469747735</v>
      </c>
      <c r="BB42">
        <f>'Raw Counts'!BB42</f>
        <v>9944.8800477974237</v>
      </c>
      <c r="BC42">
        <f>'Raw Counts'!BC42</f>
        <v>6257.2200336387104</v>
      </c>
      <c r="BD42">
        <f>'Raw Counts'!BD42</f>
        <v>97707.897408871213</v>
      </c>
      <c r="BE42">
        <f>'Raw Counts'!BE42</f>
        <v>149295.78772699193</v>
      </c>
      <c r="BF42">
        <f>'Raw Counts'!BF42</f>
        <v>13988.738525067858</v>
      </c>
      <c r="BG42">
        <f>'Raw Counts'!BG42</f>
        <v>9382.8248079051154</v>
      </c>
      <c r="BH42">
        <f>'Raw Counts'!BH42</f>
        <v>5880.9268839560054</v>
      </c>
      <c r="BI42">
        <f>'Raw Counts'!BI42</f>
        <v>95072.778254139892</v>
      </c>
      <c r="BJ42">
        <f>'Raw Counts'!BJ42</f>
        <v>146607.50286244755</v>
      </c>
      <c r="BK42">
        <f>'Raw Counts'!BK42</f>
        <v>14702.363967322312</v>
      </c>
      <c r="BL42">
        <f>'Raw Counts'!BL42</f>
        <v>9577.8190753266535</v>
      </c>
      <c r="BM42">
        <f>'Raw Counts'!BM42</f>
        <v>6171.7446182147787</v>
      </c>
      <c r="BN42">
        <f>'Raw Counts'!BN42</f>
        <v>115164.55255446269</v>
      </c>
      <c r="BO42">
        <f>'Raw Counts'!BO42</f>
        <v>150902.34983582617</v>
      </c>
      <c r="BP42">
        <f>'Raw Counts'!BP42</f>
        <v>16120.396360590044</v>
      </c>
      <c r="BQ42">
        <f>'Raw Counts'!BQ42</f>
        <v>9811.4020703108235</v>
      </c>
      <c r="BR42">
        <f>'Raw Counts'!BR42</f>
        <v>6592.8741960805564</v>
      </c>
    </row>
    <row r="43" spans="1:70" x14ac:dyDescent="0.15">
      <c r="A43">
        <f>'Raw Counts'!A43</f>
        <v>105367.05586681936</v>
      </c>
      <c r="B43">
        <f>'Raw Counts'!B43</f>
        <v>138564.39078698083</v>
      </c>
      <c r="C43">
        <f>'Raw Counts'!C43</f>
        <v>14577.162467803113</v>
      </c>
      <c r="D43">
        <f>'Raw Counts'!D43</f>
        <v>9386.9951114104078</v>
      </c>
      <c r="E43">
        <f>'Raw Counts'!E43</f>
        <v>6056.0418244388775</v>
      </c>
      <c r="F43">
        <f>'Raw Counts'!F43</f>
        <v>110692.55894882379</v>
      </c>
      <c r="G43">
        <f>'Raw Counts'!G43</f>
        <v>143059.6156061893</v>
      </c>
      <c r="H43">
        <f>'Raw Counts'!H43</f>
        <v>14952.772141465974</v>
      </c>
      <c r="I43">
        <f>'Raw Counts'!I43</f>
        <v>9770.7332870078935</v>
      </c>
      <c r="J43">
        <f>'Raw Counts'!J43</f>
        <v>6289.5343270416633</v>
      </c>
      <c r="K43">
        <f>'Raw Counts'!K43</f>
        <v>122355.93904882653</v>
      </c>
      <c r="L43">
        <f>'Raw Counts'!L43</f>
        <v>142992.97329539355</v>
      </c>
      <c r="M43">
        <f>'Raw Counts'!M43</f>
        <v>15862.653272007914</v>
      </c>
      <c r="N43">
        <f>'Raw Counts'!N43</f>
        <v>9532.9809648298142</v>
      </c>
      <c r="O43">
        <f>'Raw Counts'!O43</f>
        <v>6263.4743394805564</v>
      </c>
      <c r="P43">
        <f>'Raw Counts'!P43</f>
        <v>81123.509993788321</v>
      </c>
      <c r="Q43">
        <f>'Raw Counts'!Q43</f>
        <v>138169.81942858489</v>
      </c>
      <c r="R43">
        <f>'Raw Counts'!R43</f>
        <v>11923.296511740362</v>
      </c>
      <c r="S43">
        <f>'Raw Counts'!S43</f>
        <v>9025.1708422740867</v>
      </c>
      <c r="T43">
        <f>'Raw Counts'!T43</f>
        <v>5881.9695583603043</v>
      </c>
      <c r="U43">
        <f>'Raw Counts'!U43</f>
        <v>84999.422157696041</v>
      </c>
      <c r="V43">
        <f>'Raw Counts'!V43</f>
        <v>138192.05549425</v>
      </c>
      <c r="W43">
        <f>'Raw Counts'!W43</f>
        <v>12118.354307008629</v>
      </c>
      <c r="X43">
        <f>'Raw Counts'!X43</f>
        <v>9064.7932498047321</v>
      </c>
      <c r="Y43">
        <f>'Raw Counts'!Y43</f>
        <v>5846.5297027920315</v>
      </c>
      <c r="Z43">
        <f>'Raw Counts'!Z43</f>
        <v>90706.46448568425</v>
      </c>
      <c r="AA43">
        <f>'Raw Counts'!AA43</f>
        <v>141521.0753523176</v>
      </c>
      <c r="AB43">
        <f>'Raw Counts'!AB43</f>
        <v>14508.302378336584</v>
      </c>
      <c r="AC43">
        <f>'Raw Counts'!AC43</f>
        <v>9602.8454661390952</v>
      </c>
      <c r="AD43">
        <f>'Raw Counts'!AD43</f>
        <v>6493.8439363568077</v>
      </c>
      <c r="AE43">
        <f>'Raw Counts'!AE43</f>
        <v>110166.39656617442</v>
      </c>
      <c r="AF43">
        <f>'Raw Counts'!AF43</f>
        <v>142372.89823361038</v>
      </c>
      <c r="AG43">
        <f>'Raw Counts'!AG43</f>
        <v>15182.322368554362</v>
      </c>
      <c r="AH43">
        <f>'Raw Counts'!AH43</f>
        <v>9635.1716566200084</v>
      </c>
      <c r="AI43">
        <f>'Raw Counts'!AI43</f>
        <v>6232.2028533067851</v>
      </c>
      <c r="AJ43">
        <f>'Raw Counts'!AJ43</f>
        <v>98270.183735882485</v>
      </c>
      <c r="AK43">
        <f>'Raw Counts'!AK43</f>
        <v>141442.76367657073</v>
      </c>
      <c r="AL43">
        <f>'Raw Counts'!AL43</f>
        <v>15041.468371663523</v>
      </c>
      <c r="AM43">
        <f>'Raw Counts'!AM43</f>
        <v>9642.4713932378309</v>
      </c>
      <c r="AN43">
        <f>'Raw Counts'!AN43</f>
        <v>6411.494500809149</v>
      </c>
      <c r="AO43">
        <f>'Raw Counts'!AO43</f>
        <v>97441.509693448068</v>
      </c>
      <c r="AP43">
        <f>'Raw Counts'!AP43</f>
        <v>141390.96255114742</v>
      </c>
      <c r="AQ43">
        <f>'Raw Counts'!AQ43</f>
        <v>14468.659235502633</v>
      </c>
      <c r="AR43">
        <f>'Raw Counts'!AR43</f>
        <v>9641.4282873444954</v>
      </c>
      <c r="AS43">
        <f>'Raw Counts'!AS43</f>
        <v>6457.3599551662619</v>
      </c>
      <c r="AT43">
        <f>'Raw Counts'!AT43</f>
        <v>94934.882823603009</v>
      </c>
      <c r="AU43">
        <f>'Raw Counts'!AU43</f>
        <v>140692.69198603387</v>
      </c>
      <c r="AV43">
        <f>'Raw Counts'!AV43</f>
        <v>14323.639722346637</v>
      </c>
      <c r="AW43">
        <f>'Raw Counts'!AW43</f>
        <v>9390.1233408118769</v>
      </c>
      <c r="AX43">
        <f>'Raw Counts'!AX43</f>
        <v>6086.2710072545324</v>
      </c>
      <c r="AY43">
        <f>'Raw Counts'!AY43</f>
        <v>111392.7727704562</v>
      </c>
      <c r="AZ43">
        <f>'Raw Counts'!AZ43</f>
        <v>147113.52817229481</v>
      </c>
      <c r="BA43">
        <f>'Raw Counts'!BA43</f>
        <v>15184.405846137604</v>
      </c>
      <c r="BB43">
        <f>'Raw Counts'!BB43</f>
        <v>9773.8616484933755</v>
      </c>
      <c r="BC43">
        <f>'Raw Counts'!BC43</f>
        <v>6416.706176939937</v>
      </c>
      <c r="BD43">
        <f>'Raw Counts'!BD43</f>
        <v>97526.800620592287</v>
      </c>
      <c r="BE43">
        <f>'Raw Counts'!BE43</f>
        <v>148584.20089684907</v>
      </c>
      <c r="BF43">
        <f>'Raw Counts'!BF43</f>
        <v>13514.070924167067</v>
      </c>
      <c r="BG43">
        <f>'Raw Counts'!BG43</f>
        <v>9629.9581346597552</v>
      </c>
      <c r="BH43">
        <f>'Raw Counts'!BH43</f>
        <v>6055.0001307323801</v>
      </c>
      <c r="BI43">
        <f>'Raw Counts'!BI43</f>
        <v>96220.22312933761</v>
      </c>
      <c r="BJ43">
        <f>'Raw Counts'!BJ43</f>
        <v>146533.41556914779</v>
      </c>
      <c r="BK43">
        <f>'Raw Counts'!BK43</f>
        <v>14045.075338326176</v>
      </c>
      <c r="BL43">
        <f>'Raw Counts'!BL43</f>
        <v>9579.9052726319314</v>
      </c>
      <c r="BM43">
        <f>'Raw Counts'!BM43</f>
        <v>6085.2283094139502</v>
      </c>
      <c r="BN43">
        <f>'Raw Counts'!BN43</f>
        <v>111673.1974087516</v>
      </c>
      <c r="BO43">
        <f>'Raw Counts'!BO43</f>
        <v>150130.24535923803</v>
      </c>
      <c r="BP43">
        <f>'Raw Counts'!BP43</f>
        <v>15619.522559652223</v>
      </c>
      <c r="BQ43">
        <f>'Raw Counts'!BQ43</f>
        <v>9900.039125278352</v>
      </c>
      <c r="BR43">
        <f>'Raw Counts'!BR43</f>
        <v>6621.0196456107606</v>
      </c>
    </row>
    <row r="44" spans="1:70" x14ac:dyDescent="0.15">
      <c r="A44">
        <f>'Raw Counts'!A44</f>
        <v>106150.12602652758</v>
      </c>
      <c r="B44">
        <f>'Raw Counts'!B44</f>
        <v>138671.21028255406</v>
      </c>
      <c r="C44">
        <f>'Raw Counts'!C44</f>
        <v>13973.094479948484</v>
      </c>
      <c r="D44">
        <f>'Raw Counts'!D44</f>
        <v>9410.9788983619455</v>
      </c>
      <c r="E44">
        <f>'Raw Counts'!E44</f>
        <v>6006.0086400416467</v>
      </c>
      <c r="F44">
        <f>'Raw Counts'!F44</f>
        <v>112118.25013472793</v>
      </c>
      <c r="G44">
        <f>'Raw Counts'!G44</f>
        <v>144974.16605428015</v>
      </c>
      <c r="H44">
        <f>'Raw Counts'!H44</f>
        <v>15180.238891448827</v>
      </c>
      <c r="I44">
        <f>'Raw Counts'!I44</f>
        <v>9669.5831789059139</v>
      </c>
      <c r="J44">
        <f>'Raw Counts'!J44</f>
        <v>6165.4903754910183</v>
      </c>
      <c r="K44">
        <f>'Raw Counts'!K44</f>
        <v>122185.96442107404</v>
      </c>
      <c r="L44">
        <f>'Raw Counts'!L44</f>
        <v>143447.99968481931</v>
      </c>
      <c r="M44">
        <f>'Raw Counts'!M44</f>
        <v>15758.301907382556</v>
      </c>
      <c r="N44">
        <f>'Raw Counts'!N44</f>
        <v>9472.5007695670483</v>
      </c>
      <c r="O44">
        <f>'Raw Counts'!O44</f>
        <v>6366.6710071991265</v>
      </c>
      <c r="P44">
        <f>'Raw Counts'!P44</f>
        <v>82212.429384158764</v>
      </c>
      <c r="Q44">
        <f>'Raw Counts'!Q44</f>
        <v>138715.58339018689</v>
      </c>
      <c r="R44">
        <f>'Raw Counts'!R44</f>
        <v>11352.776491729604</v>
      </c>
      <c r="S44">
        <f>'Raw Counts'!S44</f>
        <v>9101.2887000093069</v>
      </c>
      <c r="T44">
        <f>'Raw Counts'!T44</f>
        <v>5839.2340148593667</v>
      </c>
      <c r="U44">
        <f>'Raw Counts'!U44</f>
        <v>87156.231671101967</v>
      </c>
      <c r="V44">
        <f>'Raw Counts'!V44</f>
        <v>138852.0549053381</v>
      </c>
      <c r="W44">
        <f>'Raw Counts'!W44</f>
        <v>12398.932461568729</v>
      </c>
      <c r="X44">
        <f>'Raw Counts'!X44</f>
        <v>9188.8767768012494</v>
      </c>
      <c r="Y44">
        <f>'Raw Counts'!Y44</f>
        <v>5969.5266169293827</v>
      </c>
      <c r="Z44">
        <f>'Raw Counts'!Z44</f>
        <v>92236.380318895099</v>
      </c>
      <c r="AA44">
        <f>'Raw Counts'!AA44</f>
        <v>142451.1163712976</v>
      </c>
      <c r="AB44">
        <f>'Raw Counts'!AB44</f>
        <v>14398.758319316021</v>
      </c>
      <c r="AC44">
        <f>'Raw Counts'!AC44</f>
        <v>9846.8563881300652</v>
      </c>
      <c r="AD44">
        <f>'Raw Counts'!AD44</f>
        <v>6367.7137373262785</v>
      </c>
      <c r="AE44">
        <f>'Raw Counts'!AE44</f>
        <v>107308.36427728947</v>
      </c>
      <c r="AF44">
        <f>'Raw Counts'!AF44</f>
        <v>140819.64626579199</v>
      </c>
      <c r="AG44">
        <f>'Raw Counts'!AG44</f>
        <v>15190.666298480743</v>
      </c>
      <c r="AH44">
        <f>'Raw Counts'!AH44</f>
        <v>9648.7280289875962</v>
      </c>
      <c r="AI44">
        <f>'Raw Counts'!AI44</f>
        <v>6307.2546008726977</v>
      </c>
      <c r="AJ44">
        <f>'Raw Counts'!AJ44</f>
        <v>96113.892778776193</v>
      </c>
      <c r="AK44">
        <f>'Raw Counts'!AK44</f>
        <v>141687.24867403327</v>
      </c>
      <c r="AL44">
        <f>'Raw Counts'!AL44</f>
        <v>13914.674925963094</v>
      </c>
      <c r="AM44">
        <f>'Raw Counts'!AM44</f>
        <v>9767.6049265993388</v>
      </c>
      <c r="AN44">
        <f>'Raw Counts'!AN44</f>
        <v>6523.0318271807364</v>
      </c>
      <c r="AO44">
        <f>'Raw Counts'!AO44</f>
        <v>95387.522375770102</v>
      </c>
      <c r="AP44">
        <f>'Raw Counts'!AP44</f>
        <v>140828.07609298179</v>
      </c>
      <c r="AQ44">
        <f>'Raw Counts'!AQ44</f>
        <v>14226.607445785317</v>
      </c>
      <c r="AR44">
        <f>'Raw Counts'!AR44</f>
        <v>9595.5467624042558</v>
      </c>
      <c r="AS44">
        <f>'Raw Counts'!AS44</f>
        <v>6193.6345016374398</v>
      </c>
      <c r="AT44">
        <f>'Raw Counts'!AT44</f>
        <v>92857.256858274282</v>
      </c>
      <c r="AU44">
        <f>'Raw Counts'!AU44</f>
        <v>141394.11123854856</v>
      </c>
      <c r="AV44">
        <f>'Raw Counts'!AV44</f>
        <v>14538.56068938275</v>
      </c>
      <c r="AW44">
        <f>'Raw Counts'!AW44</f>
        <v>9654.9846690445574</v>
      </c>
      <c r="AX44">
        <f>'Raw Counts'!AX44</f>
        <v>6185.2958257729442</v>
      </c>
      <c r="AY44">
        <f>'Raw Counts'!AY44</f>
        <v>113900.70488354385</v>
      </c>
      <c r="AZ44">
        <f>'Raw Counts'!AZ44</f>
        <v>147558.19114943742</v>
      </c>
      <c r="BA44">
        <f>'Raw Counts'!BA44</f>
        <v>16447.021020439981</v>
      </c>
      <c r="BB44">
        <f>'Raw Counts'!BB44</f>
        <v>9812.4441946324259</v>
      </c>
      <c r="BC44">
        <f>'Raw Counts'!BC44</f>
        <v>6252.0084489539631</v>
      </c>
      <c r="BD44">
        <f>'Raw Counts'!BD44</f>
        <v>95603.320314893121</v>
      </c>
      <c r="BE44">
        <f>'Raw Counts'!BE44</f>
        <v>148073.82427279075</v>
      </c>
      <c r="BF44">
        <f>'Raw Counts'!BF44</f>
        <v>13555.793007108163</v>
      </c>
      <c r="BG44">
        <f>'Raw Counts'!BG44</f>
        <v>9341.1148709003028</v>
      </c>
      <c r="BH44">
        <f>'Raw Counts'!BH44</f>
        <v>6173.8300338652334</v>
      </c>
      <c r="BI44">
        <f>'Raw Counts'!BI44</f>
        <v>96908.757742043279</v>
      </c>
      <c r="BJ44">
        <f>'Raw Counts'!BJ44</f>
        <v>147605.86031664247</v>
      </c>
      <c r="BK44">
        <f>'Raw Counts'!BK44</f>
        <v>13430.607303360892</v>
      </c>
      <c r="BL44">
        <f>'Raw Counts'!BL44</f>
        <v>9461.0308300748329</v>
      </c>
      <c r="BM44">
        <f>'Raw Counts'!BM44</f>
        <v>6130.0504151265914</v>
      </c>
      <c r="BN44">
        <f>'Raw Counts'!BN44</f>
        <v>117111.10121352972</v>
      </c>
      <c r="BO44">
        <f>'Raw Counts'!BO44</f>
        <v>151598.15432587554</v>
      </c>
      <c r="BP44">
        <f>'Raw Counts'!BP44</f>
        <v>15958.651174597704</v>
      </c>
      <c r="BQ44">
        <f>'Raw Counts'!BQ44</f>
        <v>9944.8800477974237</v>
      </c>
      <c r="BR44">
        <f>'Raw Counts'!BR44</f>
        <v>6579.3223808528974</v>
      </c>
    </row>
    <row r="45" spans="1:70" x14ac:dyDescent="0.15">
      <c r="A45">
        <f>'Raw Counts'!A45</f>
        <v>103855.9419329396</v>
      </c>
      <c r="B45">
        <f>'Raw Counts'!B45</f>
        <v>137774.24996052816</v>
      </c>
      <c r="C45">
        <f>'Raw Counts'!C45</f>
        <v>14612.639389562841</v>
      </c>
      <c r="D45">
        <f>'Raw Counts'!D45</f>
        <v>9507.9547663971462</v>
      </c>
      <c r="E45">
        <f>'Raw Counts'!E45</f>
        <v>6212.3973008156818</v>
      </c>
      <c r="F45">
        <f>'Raw Counts'!F45</f>
        <v>110130.56437904102</v>
      </c>
      <c r="G45">
        <f>'Raw Counts'!G45</f>
        <v>144756.11202206294</v>
      </c>
      <c r="H45">
        <f>'Raw Counts'!H45</f>
        <v>15520.392889729046</v>
      </c>
      <c r="I45">
        <f>'Raw Counts'!I45</f>
        <v>9928.1948179956034</v>
      </c>
      <c r="J45">
        <f>'Raw Counts'!J45</f>
        <v>6256.177316187368</v>
      </c>
      <c r="K45">
        <f>'Raw Counts'!K45</f>
        <v>121910.38323490761</v>
      </c>
      <c r="L45">
        <f>'Raw Counts'!L45</f>
        <v>142862.83934332809</v>
      </c>
      <c r="M45">
        <f>'Raw Counts'!M45</f>
        <v>15100.936899239614</v>
      </c>
      <c r="N45">
        <f>'Raw Counts'!N45</f>
        <v>9614.3165856646447</v>
      </c>
      <c r="O45">
        <f>'Raw Counts'!O45</f>
        <v>6551.1770604403255</v>
      </c>
      <c r="P45">
        <f>'Raw Counts'!P45</f>
        <v>82777.953789676496</v>
      </c>
      <c r="Q45">
        <f>'Raw Counts'!Q45</f>
        <v>139348.10150747155</v>
      </c>
      <c r="R45">
        <f>'Raw Counts'!R45</f>
        <v>12034.903503735932</v>
      </c>
      <c r="S45">
        <f>'Raw Counts'!S45</f>
        <v>9014.7435001629819</v>
      </c>
      <c r="T45">
        <f>'Raw Counts'!T45</f>
        <v>5871.5458216383404</v>
      </c>
      <c r="U45">
        <f>'Raw Counts'!U45</f>
        <v>86503.146174431051</v>
      </c>
      <c r="V45">
        <f>'Raw Counts'!V45</f>
        <v>138707.15552922024</v>
      </c>
      <c r="W45">
        <f>'Raw Counts'!W45</f>
        <v>12445.876576173885</v>
      </c>
      <c r="X45">
        <f>'Raw Counts'!X45</f>
        <v>9115.886320522497</v>
      </c>
      <c r="Y45">
        <f>'Raw Counts'!Y45</f>
        <v>5848.6150438286131</v>
      </c>
      <c r="Z45">
        <f>'Raw Counts'!Z45</f>
        <v>93555.013283232634</v>
      </c>
      <c r="AA45">
        <f>'Raw Counts'!AA45</f>
        <v>141813.09956978503</v>
      </c>
      <c r="AB45">
        <f>'Raw Counts'!AB45</f>
        <v>14354.939062287422</v>
      </c>
      <c r="AC45">
        <f>'Raw Counts'!AC45</f>
        <v>9662.2834205122854</v>
      </c>
      <c r="AD45">
        <f>'Raw Counts'!AD45</f>
        <v>6442.7666038363477</v>
      </c>
      <c r="AE45">
        <f>'Raw Counts'!AE45</f>
        <v>109162.64282177828</v>
      </c>
      <c r="AF45">
        <f>'Raw Counts'!AF45</f>
        <v>141396.24422095815</v>
      </c>
      <c r="AG45">
        <f>'Raw Counts'!AG45</f>
        <v>15473.442907068309</v>
      </c>
      <c r="AH45">
        <f>'Raw Counts'!AH45</f>
        <v>9554.8789449880587</v>
      </c>
      <c r="AI45">
        <f>'Raw Counts'!AI45</f>
        <v>6398.9856897242253</v>
      </c>
      <c r="AJ45">
        <f>'Raw Counts'!AJ45</f>
        <v>101476.07907283936</v>
      </c>
      <c r="AK45">
        <f>'Raw Counts'!AK45</f>
        <v>142229.97410905955</v>
      </c>
      <c r="AL45">
        <f>'Raw Counts'!AL45</f>
        <v>14364.323877383315</v>
      </c>
      <c r="AM45">
        <f>'Raw Counts'!AM45</f>
        <v>9791.5887168914669</v>
      </c>
      <c r="AN45">
        <f>'Raw Counts'!AN45</f>
        <v>6356.2467146050285</v>
      </c>
      <c r="AO45">
        <f>'Raw Counts'!AO45</f>
        <v>97015.097414883057</v>
      </c>
      <c r="AP45">
        <f>'Raw Counts'!AP45</f>
        <v>142224.69195294182</v>
      </c>
      <c r="AQ45">
        <f>'Raw Counts'!AQ45</f>
        <v>13597.525296573407</v>
      </c>
      <c r="AR45">
        <f>'Raw Counts'!AR45</f>
        <v>9570.5203916897117</v>
      </c>
      <c r="AS45">
        <f>'Raw Counts'!AS45</f>
        <v>6335.3991659800458</v>
      </c>
      <c r="AT45">
        <f>'Raw Counts'!AT45</f>
        <v>93285.585223793605</v>
      </c>
      <c r="AU45">
        <f>'Raw Counts'!AU45</f>
        <v>141787.70578571979</v>
      </c>
      <c r="AV45">
        <f>'Raw Counts'!AV45</f>
        <v>13837.467145924515</v>
      </c>
      <c r="AW45">
        <f>'Raw Counts'!AW45</f>
        <v>9636.2147617952505</v>
      </c>
      <c r="AX45">
        <f>'Raw Counts'!AX45</f>
        <v>6180.0842823273579</v>
      </c>
      <c r="AY45">
        <f>'Raw Counts'!AY45</f>
        <v>111835.68569125561</v>
      </c>
      <c r="AZ45">
        <f>'Raw Counts'!AZ45</f>
        <v>148222.02467797394</v>
      </c>
      <c r="BA45">
        <f>'Raw Counts'!BA45</f>
        <v>15618.480770918035</v>
      </c>
      <c r="BB45">
        <f>'Raw Counts'!BB45</f>
        <v>9764.4765672675167</v>
      </c>
      <c r="BC45">
        <f>'Raw Counts'!BC45</f>
        <v>6388.5613600692877</v>
      </c>
      <c r="BD45">
        <f>'Raw Counts'!BD45</f>
        <v>98835.669198877833</v>
      </c>
      <c r="BE45">
        <f>'Raw Counts'!BE45</f>
        <v>149570.06855571101</v>
      </c>
      <c r="BF45">
        <f>'Raw Counts'!BF45</f>
        <v>13973.094479948484</v>
      </c>
      <c r="BG45">
        <f>'Raw Counts'!BG45</f>
        <v>9586.1618653106107</v>
      </c>
      <c r="BH45">
        <f>'Raw Counts'!BH45</f>
        <v>6204.0586077379858</v>
      </c>
      <c r="BI45">
        <f>'Raw Counts'!BI45</f>
        <v>98994.682324951864</v>
      </c>
      <c r="BJ45">
        <f>'Raw Counts'!BJ45</f>
        <v>146684.74128966901</v>
      </c>
      <c r="BK45">
        <f>'Raw Counts'!BK45</f>
        <v>14090.9863436297</v>
      </c>
      <c r="BL45">
        <f>'Raw Counts'!BL45</f>
        <v>9583.0335684328329</v>
      </c>
      <c r="BM45">
        <f>'Raw Counts'!BM45</f>
        <v>6181.1259903692808</v>
      </c>
      <c r="BN45">
        <f>'Raw Counts'!BN45</f>
        <v>115596.00245118489</v>
      </c>
      <c r="BO45">
        <f>'Raw Counts'!BO45</f>
        <v>151394.78638356956</v>
      </c>
      <c r="BP45">
        <f>'Raw Counts'!BP45</f>
        <v>15720.736911544909</v>
      </c>
      <c r="BQ45">
        <f>'Raw Counts'!BQ45</f>
        <v>9758.2198518344612</v>
      </c>
      <c r="BR45">
        <f>'Raw Counts'!BR45</f>
        <v>6455.2754751732837</v>
      </c>
    </row>
    <row r="46" spans="1:70" x14ac:dyDescent="0.15">
      <c r="A46">
        <f>'Raw Counts'!A46</f>
        <v>102704.415246509</v>
      </c>
      <c r="B46">
        <f>'Raw Counts'!B46</f>
        <v>139061.43707626246</v>
      </c>
      <c r="C46">
        <f>'Raw Counts'!C46</f>
        <v>14427.974613351806</v>
      </c>
      <c r="D46">
        <f>'Raw Counts'!D46</f>
        <v>9549.6644680354948</v>
      </c>
      <c r="E46">
        <f>'Raw Counts'!E46</f>
        <v>6049.7876613276958</v>
      </c>
      <c r="F46">
        <f>'Raw Counts'!F46</f>
        <v>110582.93083126796</v>
      </c>
      <c r="G46">
        <f>'Raw Counts'!G46</f>
        <v>145649.49624679671</v>
      </c>
      <c r="H46">
        <f>'Raw Counts'!H46</f>
        <v>15832.390551677474</v>
      </c>
      <c r="I46">
        <f>'Raw Counts'!I46</f>
        <v>9820.7871999937524</v>
      </c>
      <c r="J46">
        <f>'Raw Counts'!J46</f>
        <v>6319.763285716921</v>
      </c>
      <c r="K46">
        <f>'Raw Counts'!K46</f>
        <v>123968.27200428964</v>
      </c>
      <c r="L46">
        <f>'Raw Counts'!L46</f>
        <v>143352.70537101108</v>
      </c>
      <c r="M46">
        <f>'Raw Counts'!M46</f>
        <v>16049.440899446674</v>
      </c>
      <c r="N46">
        <f>'Raw Counts'!N46</f>
        <v>9486.0568992978951</v>
      </c>
      <c r="O46">
        <f>'Raw Counts'!O46</f>
        <v>6382.3069681553534</v>
      </c>
      <c r="P46">
        <f>'Raw Counts'!P46</f>
        <v>81293.7758853173</v>
      </c>
      <c r="Q46">
        <f>'Raw Counts'!Q46</f>
        <v>139240.25856319</v>
      </c>
      <c r="R46">
        <f>'Raw Counts'!R46</f>
        <v>12325.923229332808</v>
      </c>
      <c r="S46">
        <f>'Raw Counts'!S46</f>
        <v>9117.9714107944146</v>
      </c>
      <c r="T46">
        <f>'Raw Counts'!T46</f>
        <v>5783.9897068922764</v>
      </c>
      <c r="U46">
        <f>'Raw Counts'!U46</f>
        <v>87763.088960007459</v>
      </c>
      <c r="V46">
        <f>'Raw Counts'!V46</f>
        <v>139683.41799997503</v>
      </c>
      <c r="W46">
        <f>'Raw Counts'!W46</f>
        <v>11833.59936823747</v>
      </c>
      <c r="X46">
        <f>'Raw Counts'!X46</f>
        <v>9001.18907439328</v>
      </c>
      <c r="Y46">
        <f>'Raw Counts'!Y46</f>
        <v>5857.9960824799</v>
      </c>
      <c r="Z46">
        <f>'Raw Counts'!Z46</f>
        <v>93296.112843323121</v>
      </c>
      <c r="AA46">
        <f>'Raw Counts'!AA46</f>
        <v>142813.06182338198</v>
      </c>
      <c r="AB46">
        <f>'Raw Counts'!AB46</f>
        <v>13720.630157265909</v>
      </c>
      <c r="AC46">
        <f>'Raw Counts'!AC46</f>
        <v>9935.4947899698127</v>
      </c>
      <c r="AD46">
        <f>'Raw Counts'!AD46</f>
        <v>6419.8333841940421</v>
      </c>
      <c r="AE46">
        <f>'Raw Counts'!AE46</f>
        <v>107677.30744449054</v>
      </c>
      <c r="AF46">
        <f>'Raw Counts'!AF46</f>
        <v>141506.24585201178</v>
      </c>
      <c r="AG46">
        <f>'Raw Counts'!AG46</f>
        <v>14899.56483530056</v>
      </c>
      <c r="AH46">
        <f>'Raw Counts'!AH46</f>
        <v>9656.0267754308134</v>
      </c>
      <c r="AI46">
        <f>'Raw Counts'!AI46</f>
        <v>6337.4836184815194</v>
      </c>
      <c r="AJ46">
        <f>'Raw Counts'!AJ46</f>
        <v>101110.62404870342</v>
      </c>
      <c r="AK46">
        <f>'Raw Counts'!AK46</f>
        <v>142605.62457421349</v>
      </c>
      <c r="AL46">
        <f>'Raw Counts'!AL46</f>
        <v>13502.593879736285</v>
      </c>
      <c r="AM46">
        <f>'Raw Counts'!AM46</f>
        <v>10063.758816951973</v>
      </c>
      <c r="AN46">
        <f>'Raw Counts'!AN46</f>
        <v>6190.5073722066218</v>
      </c>
      <c r="AO46">
        <f>'Raw Counts'!AO46</f>
        <v>95438.050607576035</v>
      </c>
      <c r="AP46">
        <f>'Raw Counts'!AP46</f>
        <v>141178.27633044528</v>
      </c>
      <c r="AQ46">
        <f>'Raw Counts'!AQ46</f>
        <v>13676.814170028152</v>
      </c>
      <c r="AR46">
        <f>'Raw Counts'!AR46</f>
        <v>9599.7171635188952</v>
      </c>
      <c r="AS46">
        <f>'Raw Counts'!AS46</f>
        <v>6404.1973586825943</v>
      </c>
      <c r="AT46">
        <f>'Raw Counts'!AT46</f>
        <v>92754.12807669006</v>
      </c>
      <c r="AU46">
        <f>'Raw Counts'!AU46</f>
        <v>141360.28829891761</v>
      </c>
      <c r="AV46">
        <f>'Raw Counts'!AV46</f>
        <v>14538.56068938275</v>
      </c>
      <c r="AW46">
        <f>'Raw Counts'!AW46</f>
        <v>9518.3816733374642</v>
      </c>
      <c r="AX46">
        <f>'Raw Counts'!AX46</f>
        <v>6086.2710072545324</v>
      </c>
      <c r="AY46">
        <f>'Raw Counts'!AY46</f>
        <v>113763.59611110949</v>
      </c>
      <c r="AZ46">
        <f>'Raw Counts'!AZ46</f>
        <v>148249.57111117881</v>
      </c>
      <c r="BA46">
        <f>'Raw Counts'!BA46</f>
        <v>15698.829077664052</v>
      </c>
      <c r="BB46">
        <f>'Raw Counts'!BB46</f>
        <v>9963.6505925281635</v>
      </c>
      <c r="BC46">
        <f>'Raw Counts'!BC46</f>
        <v>6372.9253883538877</v>
      </c>
      <c r="BD46">
        <f>'Raw Counts'!BD46</f>
        <v>97603.662200309976</v>
      </c>
      <c r="BE46">
        <f>'Raw Counts'!BE46</f>
        <v>150408.82168302825</v>
      </c>
      <c r="BF46">
        <f>'Raw Counts'!BF46</f>
        <v>14227.659090627772</v>
      </c>
      <c r="BG46">
        <f>'Raw Counts'!BG46</f>
        <v>9605.9737698361805</v>
      </c>
      <c r="BH46">
        <f>'Raw Counts'!BH46</f>
        <v>6084.1856116929821</v>
      </c>
      <c r="BI46">
        <f>'Raw Counts'!BI46</f>
        <v>101212.755817864</v>
      </c>
      <c r="BJ46">
        <f>'Raw Counts'!BJ46</f>
        <v>149520.25414793426</v>
      </c>
      <c r="BK46">
        <f>'Raw Counts'!BK46</f>
        <v>14304.860170127973</v>
      </c>
      <c r="BL46">
        <f>'Raw Counts'!BL46</f>
        <v>9567.3921001959243</v>
      </c>
      <c r="BM46">
        <f>'Raw Counts'!BM46</f>
        <v>6200.9314747208009</v>
      </c>
      <c r="BN46">
        <f>'Raw Counts'!BN46</f>
        <v>112918.81286102692</v>
      </c>
      <c r="BO46">
        <f>'Raw Counts'!BO46</f>
        <v>150551.77329976583</v>
      </c>
      <c r="BP46">
        <f>'Raw Counts'!BP46</f>
        <v>16221.616291628972</v>
      </c>
      <c r="BQ46">
        <f>'Raw Counts'!BQ46</f>
        <v>9934.451650444953</v>
      </c>
      <c r="BR46">
        <f>'Raw Counts'!BR46</f>
        <v>6599.1287328888002</v>
      </c>
    </row>
    <row r="47" spans="1:70" x14ac:dyDescent="0.15">
      <c r="A47">
        <f>'Raw Counts'!A47</f>
        <v>104247.90906656845</v>
      </c>
      <c r="B47">
        <f>'Raw Counts'!B47</f>
        <v>139081.54289349451</v>
      </c>
      <c r="C47">
        <f>'Raw Counts'!C47</f>
        <v>14523.957360847111</v>
      </c>
      <c r="D47">
        <f>'Raw Counts'!D47</f>
        <v>9527.766500440981</v>
      </c>
      <c r="E47">
        <f>'Raw Counts'!E47</f>
        <v>6198.8470535344086</v>
      </c>
      <c r="F47">
        <f>'Raw Counts'!F47</f>
        <v>110861.30583577472</v>
      </c>
      <c r="G47">
        <f>'Raw Counts'!G47</f>
        <v>145014.40399853705</v>
      </c>
      <c r="H47">
        <f>'Raw Counts'!H47</f>
        <v>15157.280608053925</v>
      </c>
      <c r="I47">
        <f>'Raw Counts'!I47</f>
        <v>9785.3319827937448</v>
      </c>
      <c r="J47">
        <f>'Raw Counts'!J47</f>
        <v>6196.7616321441328</v>
      </c>
      <c r="K47">
        <f>'Raw Counts'!K47</f>
        <v>125429.91842937694</v>
      </c>
      <c r="L47">
        <f>'Raw Counts'!L47</f>
        <v>143961.26519799369</v>
      </c>
      <c r="M47">
        <f>'Raw Counts'!M47</f>
        <v>15693.610072444455</v>
      </c>
      <c r="N47">
        <f>'Raw Counts'!N47</f>
        <v>9575.7338795543037</v>
      </c>
      <c r="O47">
        <f>'Raw Counts'!O47</f>
        <v>6446.9355585629028</v>
      </c>
      <c r="P47">
        <f>'Raw Counts'!P47</f>
        <v>83511.731902732688</v>
      </c>
      <c r="Q47">
        <f>'Raw Counts'!Q47</f>
        <v>139644.32079797177</v>
      </c>
      <c r="R47">
        <f>'Raw Counts'!R47</f>
        <v>11398.67389757719</v>
      </c>
      <c r="S47">
        <f>'Raw Counts'!S47</f>
        <v>8948.0115966966296</v>
      </c>
      <c r="T47">
        <f>'Raw Counts'!T47</f>
        <v>5951.8070015060748</v>
      </c>
      <c r="U47">
        <f>'Raw Counts'!U47</f>
        <v>86364.331056449737</v>
      </c>
      <c r="V47">
        <f>'Raw Counts'!V47</f>
        <v>139983.91355813446</v>
      </c>
      <c r="W47">
        <f>'Raw Counts'!W47</f>
        <v>12447.959426467532</v>
      </c>
      <c r="X47">
        <f>'Raw Counts'!X47</f>
        <v>9162.8084749082464</v>
      </c>
      <c r="Y47">
        <f>'Raw Counts'!Y47</f>
        <v>5992.4587004362038</v>
      </c>
      <c r="Z47">
        <f>'Raw Counts'!Z47</f>
        <v>93606.582081994304</v>
      </c>
      <c r="AA47">
        <f>'Raw Counts'!AA47</f>
        <v>143703.00326083542</v>
      </c>
      <c r="AB47">
        <f>'Raw Counts'!AB47</f>
        <v>14025.254755669843</v>
      </c>
      <c r="AC47">
        <f>'Raw Counts'!AC47</f>
        <v>9963.6505925281635</v>
      </c>
      <c r="AD47">
        <f>'Raw Counts'!AD47</f>
        <v>6427.1305388736655</v>
      </c>
      <c r="AE47">
        <f>'Raw Counts'!AE47</f>
        <v>106401.95715003648</v>
      </c>
      <c r="AF47">
        <f>'Raw Counts'!AF47</f>
        <v>142197.16384304804</v>
      </c>
      <c r="AG47">
        <f>'Raw Counts'!AG47</f>
        <v>15296.052896447847</v>
      </c>
      <c r="AH47">
        <f>'Raw Counts'!AH47</f>
        <v>9695.6529344017526</v>
      </c>
      <c r="AI47">
        <f>'Raw Counts'!AI47</f>
        <v>6359.3739010579657</v>
      </c>
      <c r="AJ47">
        <f>'Raw Counts'!AJ47</f>
        <v>99367.482948309917</v>
      </c>
      <c r="AK47">
        <f>'Raw Counts'!AK47</f>
        <v>142231.09148863246</v>
      </c>
      <c r="AL47">
        <f>'Raw Counts'!AL47</f>
        <v>14986.16709704771</v>
      </c>
      <c r="AM47">
        <f>'Raw Counts'!AM47</f>
        <v>9654.9846690445574</v>
      </c>
      <c r="AN47">
        <f>'Raw Counts'!AN47</f>
        <v>6372.9253883538877</v>
      </c>
      <c r="AO47">
        <f>'Raw Counts'!AO47</f>
        <v>97616.297319831865</v>
      </c>
      <c r="AP47">
        <f>'Raw Counts'!AP47</f>
        <v>142181.31744135625</v>
      </c>
      <c r="AQ47">
        <f>'Raw Counts'!AQ47</f>
        <v>13603.784655773708</v>
      </c>
      <c r="AR47">
        <f>'Raw Counts'!AR47</f>
        <v>9590.332262118709</v>
      </c>
      <c r="AS47">
        <f>'Raw Counts'!AS47</f>
        <v>6234.2872821425226</v>
      </c>
      <c r="AT47">
        <f>'Raw Counts'!AT47</f>
        <v>93561.328020457848</v>
      </c>
      <c r="AU47">
        <f>'Raw Counts'!AU47</f>
        <v>141824.78073436793</v>
      </c>
      <c r="AV47">
        <f>'Raw Counts'!AV47</f>
        <v>13827.041291535332</v>
      </c>
      <c r="AW47">
        <f>'Raw Counts'!AW47</f>
        <v>9481.8855492940038</v>
      </c>
      <c r="AX47">
        <f>'Raw Counts'!AX47</f>
        <v>6322.8904596177772</v>
      </c>
      <c r="AY47">
        <f>'Raw Counts'!AY47</f>
        <v>114332.19587874133</v>
      </c>
      <c r="AZ47">
        <f>'Raw Counts'!AZ47</f>
        <v>149114.63274434794</v>
      </c>
      <c r="BA47">
        <f>'Raw Counts'!BA47</f>
        <v>16076.56880081579</v>
      </c>
      <c r="BB47">
        <f>'Raw Counts'!BB47</f>
        <v>9870.8413886489325</v>
      </c>
      <c r="BC47">
        <f>'Raw Counts'!BC47</f>
        <v>6425.0450651061983</v>
      </c>
      <c r="BD47">
        <f>'Raw Counts'!BD47</f>
        <v>98157.521506523321</v>
      </c>
      <c r="BE47">
        <f>'Raw Counts'!BE47</f>
        <v>149471.55828771184</v>
      </c>
      <c r="BF47">
        <f>'Raw Counts'!BF47</f>
        <v>13889.636658464824</v>
      </c>
      <c r="BG47">
        <f>'Raw Counts'!BG47</f>
        <v>9645.5997105743136</v>
      </c>
      <c r="BH47">
        <f>'Raw Counts'!BH47</f>
        <v>6107.1179844807448</v>
      </c>
      <c r="BI47">
        <f>'Raw Counts'!BI47</f>
        <v>98210.16780068932</v>
      </c>
      <c r="BJ47">
        <f>'Raw Counts'!BJ47</f>
        <v>148633.90850269594</v>
      </c>
      <c r="BK47">
        <f>'Raw Counts'!BK47</f>
        <v>14439.442810662877</v>
      </c>
      <c r="BL47">
        <f>'Raw Counts'!BL47</f>
        <v>9517.3395827337172</v>
      </c>
      <c r="BM47">
        <f>'Raw Counts'!BM47</f>
        <v>6218.6515758154137</v>
      </c>
      <c r="BN47">
        <f>'Raw Counts'!BN47</f>
        <v>113341.7515534514</v>
      </c>
      <c r="BO47">
        <f>'Raw Counts'!BO47</f>
        <v>150646.02499590127</v>
      </c>
      <c r="BP47">
        <f>'Raw Counts'!BP47</f>
        <v>15905.43797841099</v>
      </c>
      <c r="BQ47">
        <f>'Raw Counts'!BQ47</f>
        <v>10049.16267724269</v>
      </c>
      <c r="BR47">
        <f>'Raw Counts'!BR47</f>
        <v>6525.1163227125762</v>
      </c>
    </row>
    <row r="48" spans="1:70" x14ac:dyDescent="0.15">
      <c r="A48">
        <f>'Raw Counts'!A48</f>
        <v>101449.7868526591</v>
      </c>
      <c r="B48">
        <f>'Raw Counts'!B48</f>
        <v>137792.22078604987</v>
      </c>
      <c r="C48">
        <f>'Raw Counts'!C48</f>
        <v>14228.700719925067</v>
      </c>
      <c r="D48">
        <f>'Raw Counts'!D48</f>
        <v>9667.4979620797967</v>
      </c>
      <c r="E48">
        <f>'Raw Counts'!E48</f>
        <v>6050.8303551026529</v>
      </c>
      <c r="F48">
        <f>'Raw Counts'!F48</f>
        <v>112288.03601710094</v>
      </c>
      <c r="G48">
        <f>'Raw Counts'!G48</f>
        <v>144875.70577812829</v>
      </c>
      <c r="H48">
        <f>'Raw Counts'!H48</f>
        <v>15045.635262718662</v>
      </c>
      <c r="I48">
        <f>'Raw Counts'!I48</f>
        <v>9936.5379296144019</v>
      </c>
      <c r="J48">
        <f>'Raw Counts'!J48</f>
        <v>6288.491605883235</v>
      </c>
      <c r="K48">
        <f>'Raw Counts'!K48</f>
        <v>127378.67397241172</v>
      </c>
      <c r="L48">
        <f>'Raw Counts'!L48</f>
        <v>145517.19015624523</v>
      </c>
      <c r="M48">
        <f>'Raw Counts'!M48</f>
        <v>16108.916023927557</v>
      </c>
      <c r="N48">
        <f>'Raw Counts'!N48</f>
        <v>9559.0493274416967</v>
      </c>
      <c r="O48">
        <f>'Raw Counts'!O48</f>
        <v>6422.9605925241458</v>
      </c>
      <c r="P48">
        <f>'Raw Counts'!P48</f>
        <v>82167.222053054124</v>
      </c>
      <c r="Q48">
        <f>'Raw Counts'!Q48</f>
        <v>139215.88745425039</v>
      </c>
      <c r="R48">
        <f>'Raw Counts'!R48</f>
        <v>11482.108846171646</v>
      </c>
      <c r="S48">
        <f>'Raw Counts'!S48</f>
        <v>9121.0995476013159</v>
      </c>
      <c r="T48">
        <f>'Raw Counts'!T48</f>
        <v>5834.0216691875157</v>
      </c>
      <c r="U48">
        <f>'Raw Counts'!U48</f>
        <v>84871.147896964569</v>
      </c>
      <c r="V48">
        <f>'Raw Counts'!V48</f>
        <v>138199.46752827</v>
      </c>
      <c r="W48">
        <f>'Raw Counts'!W48</f>
        <v>12181.979300372599</v>
      </c>
      <c r="X48">
        <f>'Raw Counts'!X48</f>
        <v>9164.8935759449778</v>
      </c>
      <c r="Y48">
        <f>'Raw Counts'!Y48</f>
        <v>5961.1881466605173</v>
      </c>
      <c r="Z48">
        <f>'Raw Counts'!Z48</f>
        <v>93383.466288362062</v>
      </c>
      <c r="AA48">
        <f>'Raw Counts'!AA48</f>
        <v>143233.13172857536</v>
      </c>
      <c r="AB48">
        <f>'Raw Counts'!AB48</f>
        <v>14301.725240657513</v>
      </c>
      <c r="AC48">
        <f>'Raw Counts'!AC48</f>
        <v>10033.515401243321</v>
      </c>
      <c r="AD48">
        <f>'Raw Counts'!AD48</f>
        <v>6296.830376421387</v>
      </c>
      <c r="AE48">
        <f>'Raw Counts'!AE48</f>
        <v>110280.27098271596</v>
      </c>
      <c r="AF48">
        <f>'Raw Counts'!AF48</f>
        <v>141478.82149762174</v>
      </c>
      <c r="AG48">
        <f>'Raw Counts'!AG48</f>
        <v>14697.155550554897</v>
      </c>
      <c r="AH48">
        <f>'Raw Counts'!AH48</f>
        <v>9786.3751052033404</v>
      </c>
      <c r="AI48">
        <f>'Raw Counts'!AI48</f>
        <v>6397.9429560095114</v>
      </c>
      <c r="AJ48">
        <f>'Raw Counts'!AJ48</f>
        <v>99809.808656964466</v>
      </c>
      <c r="AK48">
        <f>'Raw Counts'!AK48</f>
        <v>142801.37938385652</v>
      </c>
      <c r="AL48">
        <f>'Raw Counts'!AL48</f>
        <v>14345.544241087935</v>
      </c>
      <c r="AM48">
        <f>'Raw Counts'!AM48</f>
        <v>9834.3428481461506</v>
      </c>
      <c r="AN48">
        <f>'Raw Counts'!AN48</f>
        <v>6327.0603600579034</v>
      </c>
      <c r="AO48">
        <f>'Raw Counts'!AO48</f>
        <v>96919.28956921307</v>
      </c>
      <c r="AP48">
        <f>'Raw Counts'!AP48</f>
        <v>141319.05089177846</v>
      </c>
      <c r="AQ48">
        <f>'Raw Counts'!AQ48</f>
        <v>14438.401157209026</v>
      </c>
      <c r="AR48">
        <f>'Raw Counts'!AR48</f>
        <v>9595.5467624042558</v>
      </c>
      <c r="AS48">
        <f>'Raw Counts'!AS48</f>
        <v>6334.3564395599888</v>
      </c>
      <c r="AT48">
        <f>'Raw Counts'!AT48</f>
        <v>94347.542111402116</v>
      </c>
      <c r="AU48">
        <f>'Raw Counts'!AU48</f>
        <v>142628.88737880412</v>
      </c>
      <c r="AV48">
        <f>'Raw Counts'!AV48</f>
        <v>14166.103017436515</v>
      </c>
      <c r="AW48">
        <f>'Raw Counts'!AW48</f>
        <v>9537.1513372352001</v>
      </c>
      <c r="AX48">
        <f>'Raw Counts'!AX48</f>
        <v>6008.0940176669992</v>
      </c>
      <c r="AY48">
        <f>'Raw Counts'!AY48</f>
        <v>113321.70278099054</v>
      </c>
      <c r="AZ48">
        <f>'Raw Counts'!AZ48</f>
        <v>147515.80747381202</v>
      </c>
      <c r="BA48">
        <f>'Raw Counts'!BA48</f>
        <v>15963.870332043332</v>
      </c>
      <c r="BB48">
        <f>'Raw Counts'!BB48</f>
        <v>9840.5996159844071</v>
      </c>
      <c r="BC48">
        <f>'Raw Counts'!BC48</f>
        <v>6392.7312906372799</v>
      </c>
      <c r="BD48">
        <f>'Raw Counts'!BD48</f>
        <v>97827.933135310392</v>
      </c>
      <c r="BE48">
        <f>'Raw Counts'!BE48</f>
        <v>149157.02390531922</v>
      </c>
      <c r="BF48">
        <f>'Raw Counts'!BF48</f>
        <v>13751.927420351805</v>
      </c>
      <c r="BG48">
        <f>'Raw Counts'!BG48</f>
        <v>9614.3165856646447</v>
      </c>
      <c r="BH48">
        <f>'Raw Counts'!BH48</f>
        <v>6082.1012172792325</v>
      </c>
      <c r="BI48">
        <f>'Raw Counts'!BI48</f>
        <v>99237.95384541509</v>
      </c>
      <c r="BJ48">
        <f>'Raw Counts'!BJ48</f>
        <v>148577.79686931524</v>
      </c>
      <c r="BK48">
        <f>'Raw Counts'!BK48</f>
        <v>14328.857940813336</v>
      </c>
      <c r="BL48">
        <f>'Raw Counts'!BL48</f>
        <v>9510.0399466188064</v>
      </c>
      <c r="BM48">
        <f>'Raw Counts'!BM48</f>
        <v>6337.4836184815194</v>
      </c>
      <c r="BN48">
        <f>'Raw Counts'!BN48</f>
        <v>114670.84107947916</v>
      </c>
      <c r="BO48">
        <f>'Raw Counts'!BO48</f>
        <v>151674.41848207961</v>
      </c>
      <c r="BP48">
        <f>'Raw Counts'!BP48</f>
        <v>15191.718054897476</v>
      </c>
      <c r="BQ48">
        <f>'Raw Counts'!BQ48</f>
        <v>10131.544077511135</v>
      </c>
      <c r="BR48">
        <f>'Raw Counts'!BR48</f>
        <v>6631.4432411415946</v>
      </c>
    </row>
    <row r="49" spans="1:70" x14ac:dyDescent="0.15">
      <c r="A49">
        <f>'Raw Counts'!A49</f>
        <v>106033.06588951148</v>
      </c>
      <c r="B49">
        <f>'Raw Counts'!B49</f>
        <v>138552.71382726301</v>
      </c>
      <c r="C49">
        <f>'Raw Counts'!C49</f>
        <v>14209.921363902398</v>
      </c>
      <c r="D49">
        <f>'Raw Counts'!D49</f>
        <v>9472.5007695670483</v>
      </c>
      <c r="E49">
        <f>'Raw Counts'!E49</f>
        <v>6289.5343270416633</v>
      </c>
      <c r="F49">
        <f>'Raw Counts'!F49</f>
        <v>110698.8350215383</v>
      </c>
      <c r="G49">
        <f>'Raw Counts'!G49</f>
        <v>144561.3310106296</v>
      </c>
      <c r="H49">
        <f>'Raw Counts'!H49</f>
        <v>14705.499035008139</v>
      </c>
      <c r="I49">
        <f>'Raw Counts'!I49</f>
        <v>9782.2036173600864</v>
      </c>
      <c r="J49">
        <f>'Raw Counts'!J49</f>
        <v>6280.152842995255</v>
      </c>
      <c r="K49">
        <f>'Raw Counts'!K49</f>
        <v>124274.53213468629</v>
      </c>
      <c r="L49">
        <f>'Raw Counts'!L49</f>
        <v>144574.03178351829</v>
      </c>
      <c r="M49">
        <f>'Raw Counts'!M49</f>
        <v>15886.655156951787</v>
      </c>
      <c r="N49">
        <f>'Raw Counts'!N49</f>
        <v>9743.6201985259213</v>
      </c>
      <c r="O49">
        <f>'Raw Counts'!O49</f>
        <v>6296.830376421387</v>
      </c>
      <c r="P49">
        <f>'Raw Counts'!P49</f>
        <v>82790.568269013951</v>
      </c>
      <c r="Q49">
        <f>'Raw Counts'!Q49</f>
        <v>140803.80227447688</v>
      </c>
      <c r="R49">
        <f>'Raw Counts'!R49</f>
        <v>11395.539970476544</v>
      </c>
      <c r="S49">
        <f>'Raw Counts'!S49</f>
        <v>9163.8515258711323</v>
      </c>
      <c r="T49">
        <f>'Raw Counts'!T49</f>
        <v>5959.102779796729</v>
      </c>
      <c r="U49">
        <f>'Raw Counts'!U49</f>
        <v>86369.590848737731</v>
      </c>
      <c r="V49">
        <f>'Raw Counts'!V49</f>
        <v>139626.34629680566</v>
      </c>
      <c r="W49">
        <f>'Raw Counts'!W49</f>
        <v>12943.441017591158</v>
      </c>
      <c r="X49">
        <f>'Raw Counts'!X49</f>
        <v>9180.5343514946526</v>
      </c>
      <c r="Y49">
        <f>'Raw Counts'!Y49</f>
        <v>5971.6109855275872</v>
      </c>
      <c r="Z49">
        <f>'Raw Counts'!Z49</f>
        <v>93207.709508085551</v>
      </c>
      <c r="AA49">
        <f>'Raw Counts'!AA49</f>
        <v>143213.0166915454</v>
      </c>
      <c r="AB49">
        <f>'Raw Counts'!AB49</f>
        <v>14003.351008951589</v>
      </c>
      <c r="AC49">
        <f>'Raw Counts'!AC49</f>
        <v>9769.6901663935932</v>
      </c>
      <c r="AD49">
        <f>'Raw Counts'!AD49</f>
        <v>6457.3599551662619</v>
      </c>
      <c r="AE49">
        <f>'Raw Counts'!AE49</f>
        <v>109366.17813219843</v>
      </c>
      <c r="AF49">
        <f>'Raw Counts'!AF49</f>
        <v>142217.27662359129</v>
      </c>
      <c r="AG49">
        <f>'Raw Counts'!AG49</f>
        <v>15116.592902745509</v>
      </c>
      <c r="AH49">
        <f>'Raw Counts'!AH49</f>
        <v>9855.1994250810621</v>
      </c>
      <c r="AI49">
        <f>'Raw Counts'!AI49</f>
        <v>6213.4400132447436</v>
      </c>
      <c r="AJ49">
        <f>'Raw Counts'!AJ49</f>
        <v>101585.69822791587</v>
      </c>
      <c r="AK49">
        <f>'Raw Counts'!AK49</f>
        <v>143790.88464316793</v>
      </c>
      <c r="AL49">
        <f>'Raw Counts'!AL49</f>
        <v>14177.580899881101</v>
      </c>
      <c r="AM49">
        <f>'Raw Counts'!AM49</f>
        <v>9869.7982565447201</v>
      </c>
      <c r="AN49">
        <f>'Raw Counts'!AN49</f>
        <v>6310.381770469925</v>
      </c>
      <c r="AO49">
        <f>'Raw Counts'!AO49</f>
        <v>94588.587189063983</v>
      </c>
      <c r="AP49">
        <f>'Raw Counts'!AP49</f>
        <v>141553.88316874171</v>
      </c>
      <c r="AQ49">
        <f>'Raw Counts'!AQ49</f>
        <v>13598.566853645214</v>
      </c>
      <c r="AR49">
        <f>'Raw Counts'!AR49</f>
        <v>9418.2774538777321</v>
      </c>
      <c r="AS49">
        <f>'Raw Counts'!AS49</f>
        <v>6167.5757897065851</v>
      </c>
      <c r="AT49">
        <f>'Raw Counts'!AT49</f>
        <v>93029.854712091168</v>
      </c>
      <c r="AU49">
        <f>'Raw Counts'!AU49</f>
        <v>141822.64765101517</v>
      </c>
      <c r="AV49">
        <f>'Raw Counts'!AV49</f>
        <v>13972.052879949319</v>
      </c>
      <c r="AW49">
        <f>'Raw Counts'!AW49</f>
        <v>9650.8132415071996</v>
      </c>
      <c r="AX49">
        <f>'Raw Counts'!AX49</f>
        <v>6186.3385350929038</v>
      </c>
      <c r="AY49">
        <f>'Raw Counts'!AY49</f>
        <v>113484.11936494657</v>
      </c>
      <c r="AZ49">
        <f>'Raw Counts'!AZ49</f>
        <v>148653.01906591817</v>
      </c>
      <c r="BA49">
        <f>'Raw Counts'!BA49</f>
        <v>15646.649177584291</v>
      </c>
      <c r="BB49">
        <f>'Raw Counts'!BB49</f>
        <v>9976.1643105526691</v>
      </c>
      <c r="BC49">
        <f>'Raw Counts'!BC49</f>
        <v>6474.0388144568751</v>
      </c>
      <c r="BD49">
        <f>'Raw Counts'!BD49</f>
        <v>97480.465653777545</v>
      </c>
      <c r="BE49">
        <f>'Raw Counts'!BE49</f>
        <v>149553.09096145566</v>
      </c>
      <c r="BF49">
        <f>'Raw Counts'!BF49</f>
        <v>13612.127136418261</v>
      </c>
      <c r="BG49">
        <f>'Raw Counts'!BG49</f>
        <v>9382.8248079051154</v>
      </c>
      <c r="BH49">
        <f>'Raw Counts'!BH49</f>
        <v>6209.270164929666</v>
      </c>
      <c r="BI49">
        <f>'Raw Counts'!BI49</f>
        <v>96442.357632471249</v>
      </c>
      <c r="BJ49">
        <f>'Raw Counts'!BJ49</f>
        <v>148243.16732033613</v>
      </c>
      <c r="BK49">
        <f>'Raw Counts'!BK49</f>
        <v>14440.494480136424</v>
      </c>
      <c r="BL49">
        <f>'Raw Counts'!BL49</f>
        <v>9524.6382236630125</v>
      </c>
      <c r="BM49">
        <f>'Raw Counts'!BM49</f>
        <v>6216.56715056538</v>
      </c>
      <c r="BN49">
        <f>'Raw Counts'!BN49</f>
        <v>114311.13224123688</v>
      </c>
      <c r="BO49">
        <f>'Raw Counts'!BO49</f>
        <v>150253.06189364253</v>
      </c>
      <c r="BP49">
        <f>'Raw Counts'!BP49</f>
        <v>16622.339675207299</v>
      </c>
      <c r="BQ49">
        <f>'Raw Counts'!BQ49</f>
        <v>9893.7823165199297</v>
      </c>
      <c r="BR49">
        <f>'Raw Counts'!BR49</f>
        <v>6587.6614182114463</v>
      </c>
    </row>
    <row r="50" spans="1:70" x14ac:dyDescent="0.15">
      <c r="A50">
        <f>'Raw Counts'!A50</f>
        <v>102316.7624494512</v>
      </c>
      <c r="B50">
        <f>'Raw Counts'!B50</f>
        <v>139035.03556587084</v>
      </c>
      <c r="C50">
        <f>'Raw Counts'!C50</f>
        <v>14577.162467803113</v>
      </c>
      <c r="D50">
        <f>'Raw Counts'!D50</f>
        <v>9526.7244087610597</v>
      </c>
      <c r="E50">
        <f>'Raw Counts'!E50</f>
        <v>6097.7366887113385</v>
      </c>
    </row>
    <row r="51" spans="1:70" x14ac:dyDescent="0.15">
      <c r="A51">
        <f>'Raw Counts'!A51</f>
        <v>103340.79645398517</v>
      </c>
      <c r="B51">
        <f>'Raw Counts'!B51</f>
        <v>138543.16919311116</v>
      </c>
      <c r="C51">
        <f>'Raw Counts'!C51</f>
        <v>14692.978803111771</v>
      </c>
      <c r="D51">
        <f>'Raw Counts'!D51</f>
        <v>9583.0335684328329</v>
      </c>
      <c r="E51">
        <f>'Raw Counts'!E51</f>
        <v>6156.1090194744083</v>
      </c>
    </row>
    <row r="52" spans="1:70" x14ac:dyDescent="0.15">
      <c r="A52">
        <f>'Raw Counts'!A52</f>
        <v>104813.78777477967</v>
      </c>
      <c r="B52">
        <f>'Raw Counts'!B52</f>
        <v>139379.8859724254</v>
      </c>
      <c r="C52">
        <f>'Raw Counts'!C52</f>
        <v>13847.90302752235</v>
      </c>
      <c r="D52">
        <f>'Raw Counts'!D52</f>
        <v>9593.4605615086548</v>
      </c>
      <c r="E52">
        <f>'Raw Counts'!E52</f>
        <v>6176.9571575583614</v>
      </c>
    </row>
    <row r="53" spans="1:70" x14ac:dyDescent="0.15">
      <c r="A53">
        <f>'Raw Counts'!A53</f>
        <v>102354.68757202465</v>
      </c>
      <c r="B53">
        <f>'Raw Counts'!B53</f>
        <v>138983.24821135943</v>
      </c>
      <c r="C53">
        <f>'Raw Counts'!C53</f>
        <v>15146.843222652938</v>
      </c>
      <c r="D53">
        <f>'Raw Counts'!D53</f>
        <v>9463.1159995308572</v>
      </c>
      <c r="E53">
        <f>'Raw Counts'!E53</f>
        <v>6002.8815751612756</v>
      </c>
    </row>
    <row r="54" spans="1:70" x14ac:dyDescent="0.15">
      <c r="A54">
        <f>'Raw Counts'!A54</f>
        <v>101864.80833379412</v>
      </c>
      <c r="B54">
        <f>'Raw Counts'!B54</f>
        <v>139735.3109106069</v>
      </c>
      <c r="C54">
        <f>'Raw Counts'!C54</f>
        <v>13853.120972815339</v>
      </c>
      <c r="D54">
        <f>'Raw Counts'!D54</f>
        <v>9386.9951114104078</v>
      </c>
      <c r="E54">
        <f>'Raw Counts'!E54</f>
        <v>6267.6442126625188</v>
      </c>
    </row>
    <row r="55" spans="1:70" x14ac:dyDescent="0.15">
      <c r="A55">
        <f>'Raw Counts'!A55</f>
        <v>104962.39495820081</v>
      </c>
      <c r="B55">
        <f>'Raw Counts'!B55</f>
        <v>139312.15371668345</v>
      </c>
      <c r="C55">
        <f>'Raw Counts'!C55</f>
        <v>13943.879648334663</v>
      </c>
      <c r="D55">
        <f>'Raw Counts'!D55</f>
        <v>9547.5792787226674</v>
      </c>
      <c r="E55">
        <f>'Raw Counts'!E55</f>
        <v>6077.9314292167919</v>
      </c>
    </row>
    <row r="56" spans="1:70" x14ac:dyDescent="0.15">
      <c r="A56">
        <f>'Raw Counts'!A56</f>
        <v>105544.10069508586</v>
      </c>
      <c r="B56">
        <f>'Raw Counts'!B56</f>
        <v>139943.69796126962</v>
      </c>
      <c r="C56">
        <f>'Raw Counts'!C56</f>
        <v>14661.678298840352</v>
      </c>
      <c r="D56">
        <f>'Raw Counts'!D56</f>
        <v>9696.6950454511825</v>
      </c>
      <c r="E56">
        <f>'Raw Counts'!E56</f>
        <v>6191.5500821245032</v>
      </c>
    </row>
    <row r="57" spans="1:70" x14ac:dyDescent="0.15">
      <c r="A57">
        <f>'Raw Counts'!A57</f>
        <v>106096.3004343769</v>
      </c>
      <c r="B57">
        <f>'Raw Counts'!B57</f>
        <v>140732.91090925058</v>
      </c>
      <c r="C57">
        <f>'Raw Counts'!C57</f>
        <v>14151.490271846003</v>
      </c>
      <c r="D57">
        <f>'Raw Counts'!D57</f>
        <v>9406.8075828162491</v>
      </c>
      <c r="E57">
        <f>'Raw Counts'!E57</f>
        <v>6288.491605883235</v>
      </c>
    </row>
    <row r="58" spans="1:70" x14ac:dyDescent="0.15">
      <c r="A58">
        <f>'Raw Counts'!A58</f>
        <v>105937.15257386617</v>
      </c>
      <c r="B58">
        <f>'Raw Counts'!B58</f>
        <v>140950.86807990956</v>
      </c>
      <c r="C58">
        <f>'Raw Counts'!C58</f>
        <v>13902.155783590541</v>
      </c>
      <c r="D58">
        <f>'Raw Counts'!D58</f>
        <v>9731.1068006828791</v>
      </c>
      <c r="E58">
        <f>'Raw Counts'!E58</f>
        <v>6288.491605883235</v>
      </c>
    </row>
    <row r="59" spans="1:70" x14ac:dyDescent="0.15">
      <c r="A59">
        <f>'Raw Counts'!A59</f>
        <v>105324.86912361693</v>
      </c>
      <c r="B59">
        <f>'Raw Counts'!B59</f>
        <v>140536.08363850985</v>
      </c>
      <c r="C59">
        <f>'Raw Counts'!C59</f>
        <v>14849.482941685577</v>
      </c>
      <c r="D59">
        <f>'Raw Counts'!D59</f>
        <v>9627.8719258651799</v>
      </c>
      <c r="E59">
        <f>'Raw Counts'!E59</f>
        <v>6284.3217231372018</v>
      </c>
    </row>
    <row r="60" spans="1:70" x14ac:dyDescent="0.15">
      <c r="A60">
        <f>'Raw Counts'!A60</f>
        <v>104825.42133296424</v>
      </c>
      <c r="B60">
        <f>'Raw Counts'!B60</f>
        <v>140494.84998446197</v>
      </c>
      <c r="C60">
        <f>'Raw Counts'!C60</f>
        <v>14189.048781199788</v>
      </c>
      <c r="D60">
        <f>'Raw Counts'!D60</f>
        <v>9698.7812700437153</v>
      </c>
      <c r="E60">
        <f>'Raw Counts'!E60</f>
        <v>6299.9575424321538</v>
      </c>
    </row>
    <row r="61" spans="1:70" x14ac:dyDescent="0.15">
      <c r="A61">
        <f>'Raw Counts'!A61</f>
        <v>105643.14613882029</v>
      </c>
      <c r="B61">
        <f>'Raw Counts'!B61</f>
        <v>141270.29754923086</v>
      </c>
      <c r="C61">
        <f>'Raw Counts'!C61</f>
        <v>14537.519024567309</v>
      </c>
      <c r="D61">
        <f>'Raw Counts'!D61</f>
        <v>9794.7170855556305</v>
      </c>
      <c r="E61">
        <f>'Raw Counts'!E61</f>
        <v>6246.7958665700144</v>
      </c>
    </row>
    <row r="62" spans="1:70" x14ac:dyDescent="0.15">
      <c r="A62">
        <f>'Raw Counts'!A62</f>
        <v>107384.25646113268</v>
      </c>
      <c r="B62">
        <f>'Raw Counts'!B62</f>
        <v>141612.08432439939</v>
      </c>
      <c r="C62">
        <f>'Raw Counts'!C62</f>
        <v>14778.537403634713</v>
      </c>
      <c r="D62">
        <f>'Raw Counts'!D62</f>
        <v>9979.2927427510804</v>
      </c>
      <c r="E62">
        <f>'Raw Counts'!E62</f>
        <v>6208.2284536621837</v>
      </c>
    </row>
    <row r="63" spans="1:70" x14ac:dyDescent="0.15">
      <c r="A63">
        <f>'Raw Counts'!A63</f>
        <v>106563.23796904252</v>
      </c>
      <c r="B63">
        <f>'Raw Counts'!B63</f>
        <v>142602.47546552095</v>
      </c>
      <c r="C63">
        <f>'Raw Counts'!C63</f>
        <v>14471.794222562254</v>
      </c>
      <c r="D63">
        <f>'Raw Counts'!D63</f>
        <v>9798.8885791424709</v>
      </c>
      <c r="E63">
        <f>'Raw Counts'!E63</f>
        <v>6236.3727121425327</v>
      </c>
    </row>
    <row r="64" spans="1:70" x14ac:dyDescent="0.15">
      <c r="A64">
        <f>'Raw Counts'!A64</f>
        <v>107023.82484009297</v>
      </c>
      <c r="B64">
        <f>'Raw Counts'!B64</f>
        <v>142002.53944608092</v>
      </c>
      <c r="C64">
        <f>'Raw Counts'!C64</f>
        <v>15116.592902745509</v>
      </c>
      <c r="D64">
        <f>'Raw Counts'!D64</f>
        <v>10003.277091680753</v>
      </c>
      <c r="E64">
        <f>'Raw Counts'!E64</f>
        <v>6204.0586077379858</v>
      </c>
    </row>
    <row r="65" spans="1:5" x14ac:dyDescent="0.15">
      <c r="A65">
        <f>'Raw Counts'!A65</f>
        <v>106569.51118309514</v>
      </c>
      <c r="B65">
        <f>'Raw Counts'!B65</f>
        <v>141766.57821164935</v>
      </c>
      <c r="C65">
        <f>'Raw Counts'!C65</f>
        <v>15519.351112359629</v>
      </c>
      <c r="D65">
        <f>'Raw Counts'!D65</f>
        <v>10031.43310422902</v>
      </c>
      <c r="E65">
        <f>'Raw Counts'!E65</f>
        <v>6349.9923449269045</v>
      </c>
    </row>
    <row r="66" spans="1:5" x14ac:dyDescent="0.15">
      <c r="A66">
        <f>'Raw Counts'!A66</f>
        <v>106793.02256200432</v>
      </c>
      <c r="B66">
        <f>'Raw Counts'!B66</f>
        <v>142187.71694639401</v>
      </c>
      <c r="C66">
        <f>'Raw Counts'!C66</f>
        <v>14617.857773985115</v>
      </c>
      <c r="D66">
        <f>'Raw Counts'!D66</f>
        <v>9844.7711306307683</v>
      </c>
      <c r="E66">
        <f>'Raw Counts'!E66</f>
        <v>6042.4918102468282</v>
      </c>
    </row>
    <row r="67" spans="1:5" x14ac:dyDescent="0.15">
      <c r="A67">
        <f>'Raw Counts'!A67</f>
        <v>106698.11302796086</v>
      </c>
      <c r="B67">
        <f>'Raw Counts'!B67</f>
        <v>140738.19219526509</v>
      </c>
      <c r="C67">
        <f>'Raw Counts'!C67</f>
        <v>14753.496755829718</v>
      </c>
      <c r="D67">
        <f>'Raw Counts'!D67</f>
        <v>9713.3798502542359</v>
      </c>
      <c r="E67">
        <f>'Raw Counts'!E67</f>
        <v>6446.9355585629028</v>
      </c>
    </row>
    <row r="68" spans="1:5" x14ac:dyDescent="0.15">
      <c r="A68">
        <f>'Raw Counts'!A68</f>
        <v>104946.61354876234</v>
      </c>
      <c r="B68">
        <f>'Raw Counts'!B68</f>
        <v>141023.79247971278</v>
      </c>
      <c r="C68">
        <f>'Raw Counts'!C68</f>
        <v>14644.981401937035</v>
      </c>
      <c r="D68">
        <f>'Raw Counts'!D68</f>
        <v>9652.8984545053263</v>
      </c>
      <c r="E68">
        <f>'Raw Counts'!E68</f>
        <v>6396.9002224144197</v>
      </c>
    </row>
    <row r="69" spans="1:5" x14ac:dyDescent="0.15">
      <c r="A69">
        <f>'Raw Counts'!A69</f>
        <v>108530.10327988875</v>
      </c>
      <c r="B69">
        <f>'Raw Counts'!B69</f>
        <v>141946.46889284084</v>
      </c>
      <c r="C69">
        <f>'Raw Counts'!C69</f>
        <v>14723.237729092014</v>
      </c>
      <c r="D69">
        <f>'Raw Counts'!D69</f>
        <v>9782.2036173600864</v>
      </c>
      <c r="E69">
        <f>'Raw Counts'!E69</f>
        <v>6442.7666038363477</v>
      </c>
    </row>
    <row r="70" spans="1:5" x14ac:dyDescent="0.15">
      <c r="A70">
        <f>'Raw Counts'!A70</f>
        <v>107171.35519714472</v>
      </c>
      <c r="B70">
        <f>'Raw Counts'!B70</f>
        <v>142465.94741905958</v>
      </c>
      <c r="C70">
        <f>'Raw Counts'!C70</f>
        <v>14705.499035008139</v>
      </c>
      <c r="D70">
        <f>'Raw Counts'!D70</f>
        <v>9922.9811279424121</v>
      </c>
      <c r="E70">
        <f>'Raw Counts'!E70</f>
        <v>6418.7906480876391</v>
      </c>
    </row>
  </sheetData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10</vt:i4>
      </vt:variant>
      <vt:variant>
        <vt:lpstr>Named Ranges</vt:lpstr>
      </vt:variant>
      <vt:variant>
        <vt:i4>6</vt:i4>
      </vt:variant>
    </vt:vector>
  </HeadingPairs>
  <TitlesOfParts>
    <vt:vector size="16" baseType="lpstr">
      <vt:lpstr>Results</vt:lpstr>
      <vt:lpstr>Misc</vt:lpstr>
      <vt:lpstr>Run_Setup</vt:lpstr>
      <vt:lpstr>Measurement_Setup</vt:lpstr>
      <vt:lpstr>Interference Matrix</vt:lpstr>
      <vt:lpstr>Ratios</vt:lpstr>
      <vt:lpstr>Times</vt:lpstr>
      <vt:lpstr>Field</vt:lpstr>
      <vt:lpstr>Corrected Counts</vt:lpstr>
      <vt:lpstr>Raw Counts</vt:lpstr>
      <vt:lpstr>Field</vt:lpstr>
      <vt:lpstr>Field_Dispersion</vt:lpstr>
      <vt:lpstr>Mass</vt:lpstr>
      <vt:lpstr>Mass_Dispersion</vt:lpstr>
      <vt:lpstr>Misc!Print_Area</vt:lpstr>
      <vt:lpstr>Run_Setup!Print_Area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subject/>
  <dc:creator>Liu, Yang (Young) (US 3223)</dc:creator>
  <cp:keywords/>
  <cp:lastModifiedBy>Xue Su</cp:lastModifiedBy>
  <cp:lastPrinted>2009-05-19T21:48:05Z</cp:lastPrinted>
  <dcterms:created xsi:type="dcterms:W3CDTF">1998-01-30T16:44:02Z</dcterms:created>
  <dcterms:modified xsi:type="dcterms:W3CDTF">2023-02-03T16:30:21Z</dcterms:modified>
</cp:coreProperties>
</file>